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firstSheet="2" activeTab="3"/>
  </bookViews>
  <sheets>
    <sheet name="Лист1" sheetId="1" r:id="rId1"/>
    <sheet name="Лист4" sheetId="2" r:id="rId2"/>
    <sheet name="Лист2" sheetId="3" r:id="rId3"/>
    <sheet name="Лист3" sheetId="4" r:id="rId4"/>
    <sheet name="Лист5" sheetId="5" r:id="rId5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<sst xmlns="http://schemas.openxmlformats.org/spreadsheetml/2006/main" count="319" uniqueCount="141">
  <si>
    <t>Характеристика</t>
  </si>
  <si>
    <t>Прибор</t>
  </si>
  <si>
    <t>Расчетная формула</t>
  </si>
  <si>
    <t>Результат</t>
  </si>
  <si>
    <t>Данные</t>
  </si>
  <si>
    <t>λ</t>
  </si>
  <si>
    <t>μ</t>
  </si>
  <si>
    <t>q1</t>
  </si>
  <si>
    <t>q2</t>
  </si>
  <si>
    <t>q3</t>
  </si>
  <si>
    <t>Нагрузка</t>
  </si>
  <si>
    <t>Загрузка</t>
  </si>
  <si>
    <t>Длина очереди</t>
  </si>
  <si>
    <t>Число заявок</t>
  </si>
  <si>
    <t>Время ожидания</t>
  </si>
  <si>
    <t>Время пребывания</t>
  </si>
  <si>
    <t>Вероятность потери</t>
  </si>
  <si>
    <t>Производительность</t>
  </si>
  <si>
    <t>П1</t>
  </si>
  <si>
    <t>П2</t>
  </si>
  <si>
    <t>Сумм.</t>
  </si>
  <si>
    <t>y1=λ*q1/μ</t>
  </si>
  <si>
    <t>y=y1+y2+y3</t>
  </si>
  <si>
    <t>y2=λ*q2/μ</t>
  </si>
  <si>
    <t>ρ2=p2+p5+p7+p8+p10+p11</t>
  </si>
  <si>
    <t>ρ=(ρ1+ρ2+ρ3)/3</t>
  </si>
  <si>
    <t>p1</t>
  </si>
  <si>
    <t>p2</t>
  </si>
  <si>
    <t>p3</t>
  </si>
  <si>
    <t>p4</t>
  </si>
  <si>
    <t>p5</t>
  </si>
  <si>
    <t>p6</t>
  </si>
  <si>
    <t>p0</t>
  </si>
  <si>
    <t>p7</t>
  </si>
  <si>
    <t>p8</t>
  </si>
  <si>
    <t>p9</t>
  </si>
  <si>
    <t>p10</t>
  </si>
  <si>
    <t>p11</t>
  </si>
  <si>
    <t>ρ1=p1+p4+p5+p6+p8+p9+p10+p11</t>
  </si>
  <si>
    <t>l1=p4+p8+p9+p11</t>
  </si>
  <si>
    <t>l2=0</t>
  </si>
  <si>
    <t>L=l1+l2+l3</t>
  </si>
  <si>
    <t>m1=p1+2p4+p5+p6+2p8+2p9+p10+2p11</t>
  </si>
  <si>
    <t>m2=p2+p5+p7+p8+p10+p11</t>
  </si>
  <si>
    <t>M=m1+m2+m3</t>
  </si>
  <si>
    <t>w1=l1/λ'1</t>
  </si>
  <si>
    <t>u1=m1/λ'1</t>
  </si>
  <si>
    <t>u2=m2/λ'2</t>
  </si>
  <si>
    <t>u=M/λ'</t>
  </si>
  <si>
    <t>π1=p4+p8+p9+p11</t>
  </si>
  <si>
    <t>π2=p2+p5+p7+p8+p10+p11</t>
  </si>
  <si>
    <t>λ'1=λ*q1(1-π1)</t>
  </si>
  <si>
    <t>λ'2=λ*q2(1-π2)</t>
  </si>
  <si>
    <t>λ'=λ'1+λ'2+λ'3</t>
  </si>
  <si>
    <t>w2=l2/λ'2</t>
  </si>
  <si>
    <t>w=λ'1*w1/λ'+λ'2*w2/λ'+λ'3*w3/λ'</t>
  </si>
  <si>
    <t>π=q1*π1+q2*π2+q3*π3</t>
  </si>
  <si>
    <t>ρ1=p1+p3+p4+p6+p7+p8+p9+p10+p11</t>
  </si>
  <si>
    <t>ρ2=p2+p4+p5+p7+p8+p9+p10+p11</t>
  </si>
  <si>
    <t>ρ=(ρ1+ρ2)/2</t>
  </si>
  <si>
    <t>l1=p3+2p6+p7+2p9+p10+2p11</t>
  </si>
  <si>
    <t>l2=p5+p8+p10+p11</t>
  </si>
  <si>
    <t>L=l1+l2</t>
  </si>
  <si>
    <t>m1=p1+2p3+p4+3p6+2p7+p8+3p9+2p10+3p11</t>
  </si>
  <si>
    <t>m2=p2+p4+2p5+p7+2p8+p9+2p10+2p11</t>
  </si>
  <si>
    <t>M=m1+m2</t>
  </si>
  <si>
    <t>π2=p5+p8+p10+p11</t>
  </si>
  <si>
    <t>π=q1*π1+q2*π2</t>
  </si>
  <si>
    <t>π1=p6+p9+p11</t>
  </si>
  <si>
    <t>y=y1+y2</t>
  </si>
  <si>
    <r>
      <t>w=λ'1*w1/λ'+λ'2*w2/λ'=L/</t>
    </r>
    <r>
      <rPr>
        <sz val="10"/>
        <rFont val="Arial"/>
        <family val="2"/>
      </rPr>
      <t>λ'</t>
    </r>
  </si>
  <si>
    <t>λ'=λ'1+λ'2</t>
  </si>
  <si>
    <t>p12</t>
  </si>
  <si>
    <t>p13</t>
  </si>
  <si>
    <t>p14</t>
  </si>
  <si>
    <t>ρ1=p1+p3+p4+p6+p7+p8+p9+p10+p11+p12+p13+p14</t>
  </si>
  <si>
    <t>ρ2=p2+p4+p5+p7+p8+p9+p10+p11+p13+p14</t>
  </si>
  <si>
    <t>l1=p3+2p6+p7+2p9+p10+2p11+3p12+3p13+3p14</t>
  </si>
  <si>
    <t>l2=p5+p8+p10+p11+p14</t>
  </si>
  <si>
    <t>m1=p1+2p3+p4+3p6+2p7+p8+3p9+2p10+3p11+4p12+4p13+4e14</t>
  </si>
  <si>
    <t>m2=p2+p4+2p5+p7+2p8+p9+2p10+2p11+p13+2p14</t>
  </si>
  <si>
    <t>π1=p12+p13+p14</t>
  </si>
  <si>
    <t>π2=p5+p8+p10+p11+p14</t>
  </si>
  <si>
    <t>СИСТЕМА 2</t>
  </si>
  <si>
    <t>m</t>
  </si>
  <si>
    <t>l</t>
  </si>
  <si>
    <t>b</t>
  </si>
  <si>
    <t>Код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</si>
  <si>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</si>
  <si>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</si>
  <si>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</si>
  <si>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</si>
  <si>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</si>
  <si>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</si>
  <si>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</si>
  <si>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</si>
  <si>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</si>
  <si>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</si>
  <si>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Состояние</t>
  </si>
  <si>
    <t>0/0</t>
  </si>
  <si>
    <t>0/1</t>
  </si>
  <si>
    <t>0/2</t>
  </si>
  <si>
    <t>0/3</t>
  </si>
  <si>
    <t>0/4</t>
  </si>
  <si>
    <t>0/5</t>
  </si>
  <si>
    <t>1/0</t>
  </si>
  <si>
    <t>E10</t>
  </si>
  <si>
    <t>E11</t>
  </si>
  <si>
    <t>E12</t>
  </si>
  <si>
    <t>E13</t>
  </si>
  <si>
    <t>E14</t>
  </si>
  <si>
    <t>E15</t>
  </si>
  <si>
    <t>E16</t>
  </si>
  <si>
    <t>E17</t>
  </si>
  <si>
    <t>2/0</t>
  </si>
  <si>
    <t>1/1</t>
  </si>
  <si>
    <t>1/2</t>
  </si>
  <si>
    <t>1/3</t>
  </si>
  <si>
    <t>1/4</t>
  </si>
  <si>
    <t>1/5</t>
  </si>
  <si>
    <t>2/1</t>
  </si>
  <si>
    <t>2/2</t>
  </si>
  <si>
    <t>2/3</t>
  </si>
  <si>
    <t>2/4</t>
  </si>
  <si>
    <t>2/5</t>
  </si>
  <si>
    <t>P</t>
  </si>
  <si>
    <t>L1</t>
  </si>
  <si>
    <t>L2</t>
  </si>
  <si>
    <t>M1</t>
  </si>
  <si>
    <t>M2</t>
  </si>
  <si>
    <t>PI1</t>
  </si>
  <si>
    <t>PI2</t>
  </si>
  <si>
    <t>LAM1</t>
  </si>
  <si>
    <t>LAM2</t>
  </si>
  <si>
    <t>W1</t>
  </si>
  <si>
    <t>W2</t>
  </si>
  <si>
    <t>U1</t>
  </si>
  <si>
    <t>U2</t>
  </si>
  <si>
    <t>Y1</t>
  </si>
  <si>
    <t>L</t>
  </si>
  <si>
    <t>M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</si>
</sst>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0" fillId="0" borderId="0" xfId="0" applyNumberFormat="1" applyAlignment="1">
      <alignment/>
    </xf>
    <xf numFmtId="180" fontId="41" fillId="0" borderId="10" xfId="0" applyNumberFormat="1" applyFont="1" applyBorder="1" applyAlignment="1">
      <alignment horizontal="right" vertical="center" wrapText="1"/>
    </xf>
    <xf numFmtId="180" fontId="41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15" zoomScaleNormal="115" zoomScalePageLayoutView="0" workbookViewId="0" topLeftCell="B1">
      <selection activeCell="G9" sqref="G9"/>
    </sheetView>
  </sheetViews>
  <sheetFormatPr defaultColWidth="9.00390625" defaultRowHeight="12.75"/>
  <cols>
    <col min="1" max="1" width="13.25390625" style="1" customWidth="1"/>
    <col min="2" max="2" width="7.125" style="1" customWidth="1"/>
    <col min="3" max="3" width="35.125" style="1" customWidth="1"/>
    <col min="4" max="4" width="10.25390625" style="1" customWidth="1"/>
    <col min="5" max="5" width="2.375" style="1" customWidth="1"/>
    <col min="6" max="6" width="7.625" style="1" customWidth="1"/>
    <col min="7" max="7" width="6.875" style="1" customWidth="1"/>
    <col min="8" max="16384" width="9.1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</row>
    <row r="3" spans="1:7" ht="12.75">
      <c r="A3" s="1" t="s">
        <v>10</v>
      </c>
      <c r="B3" s="1" t="s">
        <v>18</v>
      </c>
      <c r="C3" s="1" t="s">
        <v>21</v>
      </c>
      <c r="D3" s="1">
        <f>G3*G5/G4</f>
        <v>0.6999999999999998</v>
      </c>
      <c r="F3" s="1" t="s">
        <v>5</v>
      </c>
      <c r="G3" s="1">
        <v>0.7</v>
      </c>
    </row>
    <row r="4" spans="2:7" ht="12.75">
      <c r="B4" s="1" t="s">
        <v>19</v>
      </c>
      <c r="C4" s="1" t="s">
        <v>23</v>
      </c>
      <c r="D4" s="1">
        <f>G3*G6/G4</f>
        <v>1.3999999999999997</v>
      </c>
      <c r="F4" s="1" t="s">
        <v>6</v>
      </c>
      <c r="G4" s="1">
        <v>0.2</v>
      </c>
    </row>
    <row r="5" spans="6:7" ht="12.75">
      <c r="F5" s="1" t="s">
        <v>7</v>
      </c>
      <c r="G5" s="1">
        <v>0.2</v>
      </c>
    </row>
    <row r="6" spans="2:7" ht="12.75">
      <c r="B6" s="1" t="s">
        <v>20</v>
      </c>
      <c r="C6" s="1" t="s">
        <v>22</v>
      </c>
      <c r="D6" s="1">
        <f>SUM(D3:D5)</f>
        <v>2.0999999999999996</v>
      </c>
      <c r="F6" s="1" t="s">
        <v>8</v>
      </c>
      <c r="G6" s="1">
        <v>0.4</v>
      </c>
    </row>
    <row r="7" spans="1:7" ht="12.75">
      <c r="A7" s="1" t="s">
        <v>11</v>
      </c>
      <c r="B7" s="1" t="s">
        <v>18</v>
      </c>
      <c r="C7" s="1" t="s">
        <v>38</v>
      </c>
      <c r="D7" s="1">
        <f>SUM(G10,G13,G14,G15,G17,G18,G19,G20)</f>
        <v>0.5434</v>
      </c>
      <c r="F7" s="1" t="s">
        <v>9</v>
      </c>
      <c r="G7" s="1">
        <v>0.4</v>
      </c>
    </row>
    <row r="8" spans="2:4" ht="12.75">
      <c r="B8" s="1" t="s">
        <v>19</v>
      </c>
      <c r="C8" s="1" t="s">
        <v>24</v>
      </c>
      <c r="D8" s="1">
        <f>SUM(G11,G14,G16,G17,G19,G20)</f>
        <v>0.5833999999999999</v>
      </c>
    </row>
    <row r="9" spans="6:7" ht="12.75">
      <c r="F9" s="1" t="s">
        <v>32</v>
      </c>
      <c r="G9" s="1">
        <v>0.0793</v>
      </c>
    </row>
    <row r="10" spans="2:7" ht="12.75">
      <c r="B10" s="1" t="s">
        <v>20</v>
      </c>
      <c r="C10" s="1" t="s">
        <v>25</v>
      </c>
      <c r="D10" s="1">
        <f>SUM(D7,D8,D9)/COUNT(D7,D8,D9)</f>
        <v>0.5633999999999999</v>
      </c>
      <c r="F10" s="1" t="s">
        <v>26</v>
      </c>
      <c r="G10" s="1">
        <v>0.0555</v>
      </c>
    </row>
    <row r="11" spans="1:7" ht="12.75">
      <c r="A11" s="1" t="s">
        <v>12</v>
      </c>
      <c r="B11" s="1" t="s">
        <v>18</v>
      </c>
      <c r="C11" s="1" t="s">
        <v>39</v>
      </c>
      <c r="D11" s="1">
        <f>SUM(G13,G17,G18,G20)</f>
        <v>0.2237</v>
      </c>
      <c r="F11" s="1" t="s">
        <v>27</v>
      </c>
      <c r="G11" s="1">
        <v>0.111</v>
      </c>
    </row>
    <row r="12" spans="2:7" ht="12.75">
      <c r="B12" s="1" t="s">
        <v>19</v>
      </c>
      <c r="C12" s="1" t="s">
        <v>40</v>
      </c>
      <c r="D12" s="1">
        <v>0</v>
      </c>
      <c r="F12" s="1" t="s">
        <v>28</v>
      </c>
      <c r="G12" s="1">
        <v>0.111</v>
      </c>
    </row>
    <row r="13" spans="6:7" ht="12.75">
      <c r="F13" s="1" t="s">
        <v>29</v>
      </c>
      <c r="G13" s="1">
        <v>0.0388</v>
      </c>
    </row>
    <row r="14" spans="2:7" ht="12.75">
      <c r="B14" s="1" t="s">
        <v>20</v>
      </c>
      <c r="C14" s="1" t="s">
        <v>41</v>
      </c>
      <c r="D14" s="1">
        <f>SUM(D11:D13)</f>
        <v>0.2237</v>
      </c>
      <c r="F14" s="1" t="s">
        <v>30</v>
      </c>
      <c r="G14" s="1">
        <v>0.0777</v>
      </c>
    </row>
    <row r="15" spans="1:7" ht="12.75">
      <c r="A15" s="1" t="s">
        <v>13</v>
      </c>
      <c r="B15" s="1" t="s">
        <v>18</v>
      </c>
      <c r="C15" s="1" t="s">
        <v>42</v>
      </c>
      <c r="D15" s="1">
        <f>SUM(G10,2*G13,G14,G15,2*G17,2*G18,G19,2*G20)</f>
        <v>0.7671</v>
      </c>
      <c r="F15" s="1" t="s">
        <v>31</v>
      </c>
      <c r="G15" s="1">
        <v>0.0777</v>
      </c>
    </row>
    <row r="16" spans="2:7" ht="12.75">
      <c r="B16" s="1" t="s">
        <v>19</v>
      </c>
      <c r="C16" s="1" t="s">
        <v>43</v>
      </c>
      <c r="D16" s="1">
        <f>SUM(G11,G14,G16,G17,G19,G20)</f>
        <v>0.5833999999999999</v>
      </c>
      <c r="F16" s="1" t="s">
        <v>33</v>
      </c>
      <c r="G16" s="1">
        <v>0.1554</v>
      </c>
    </row>
    <row r="17" spans="6:7" ht="12.75">
      <c r="F17" s="1" t="s">
        <v>34</v>
      </c>
      <c r="G17" s="1">
        <v>0.0544</v>
      </c>
    </row>
    <row r="18" spans="2:7" ht="12.75">
      <c r="B18" s="1" t="s">
        <v>20</v>
      </c>
      <c r="C18" s="1" t="s">
        <v>44</v>
      </c>
      <c r="D18" s="1">
        <f>SUM(D15:D17)</f>
        <v>1.3504999999999998</v>
      </c>
      <c r="F18" s="1" t="s">
        <v>35</v>
      </c>
      <c r="G18" s="1">
        <v>0.0544</v>
      </c>
    </row>
    <row r="19" spans="1:7" ht="12.75">
      <c r="A19" s="1" t="s">
        <v>14</v>
      </c>
      <c r="B19" s="1" t="s">
        <v>18</v>
      </c>
      <c r="C19" s="1" t="s">
        <v>45</v>
      </c>
      <c r="D19" s="1">
        <f>D11/D31</f>
        <v>2.0582985222944004</v>
      </c>
      <c r="F19" s="1" t="s">
        <v>36</v>
      </c>
      <c r="G19" s="1">
        <v>0.1088</v>
      </c>
    </row>
    <row r="20" spans="2:7" ht="12.75">
      <c r="B20" s="1" t="s">
        <v>19</v>
      </c>
      <c r="C20" s="1" t="s">
        <v>54</v>
      </c>
      <c r="D20" s="1">
        <f>D12/D32</f>
        <v>0</v>
      </c>
      <c r="F20" s="1" t="s">
        <v>37</v>
      </c>
      <c r="G20" s="1">
        <v>0.0761</v>
      </c>
    </row>
    <row r="22" spans="2:4" ht="12.75">
      <c r="B22" s="1" t="s">
        <v>20</v>
      </c>
      <c r="C22" s="1" t="s">
        <v>55</v>
      </c>
      <c r="D22" s="1">
        <f>D14/D34</f>
        <v>0.9927661651799583</v>
      </c>
    </row>
    <row r="23" spans="1:4" ht="12.75">
      <c r="A23" s="1" t="s">
        <v>15</v>
      </c>
      <c r="B23" s="1" t="s">
        <v>18</v>
      </c>
      <c r="C23" s="1" t="s">
        <v>46</v>
      </c>
      <c r="D23" s="1">
        <f>D15/D31</f>
        <v>7.058206510737749</v>
      </c>
    </row>
    <row r="24" spans="2:4" ht="12.75">
      <c r="B24" s="1" t="s">
        <v>19</v>
      </c>
      <c r="C24" s="1" t="s">
        <v>47</v>
      </c>
      <c r="D24" s="1">
        <f>D16/D32</f>
        <v>5.0013716480351125</v>
      </c>
    </row>
    <row r="26" spans="2:4" ht="12.75">
      <c r="B26" s="1" t="s">
        <v>20</v>
      </c>
      <c r="C26" s="1" t="s">
        <v>48</v>
      </c>
      <c r="D26" s="1">
        <f>D18/D34</f>
        <v>5.99343185550082</v>
      </c>
    </row>
    <row r="27" spans="1:4" ht="12.75">
      <c r="A27" s="1" t="s">
        <v>16</v>
      </c>
      <c r="B27" s="1" t="s">
        <v>18</v>
      </c>
      <c r="C27" s="1" t="s">
        <v>49</v>
      </c>
      <c r="D27" s="1">
        <f>SUM(G13,G17,G18,G20)</f>
        <v>0.2237</v>
      </c>
    </row>
    <row r="28" spans="2:4" ht="12.75">
      <c r="B28" s="1" t="s">
        <v>19</v>
      </c>
      <c r="C28" s="1" t="s">
        <v>50</v>
      </c>
      <c r="D28" s="1">
        <f>SUM(G11,G14,G16,G17,G19,G20)</f>
        <v>0.5833999999999999</v>
      </c>
    </row>
    <row r="30" spans="2:4" ht="12.75">
      <c r="B30" s="1" t="s">
        <v>20</v>
      </c>
      <c r="C30" s="1" t="s">
        <v>56</v>
      </c>
      <c r="D30" s="1">
        <f>G5*D27+G6*D28+G7*D29</f>
        <v>0.2781</v>
      </c>
    </row>
    <row r="31" spans="1:4" ht="12.75">
      <c r="A31" s="1" t="s">
        <v>17</v>
      </c>
      <c r="B31" s="1" t="s">
        <v>18</v>
      </c>
      <c r="C31" s="1" t="s">
        <v>51</v>
      </c>
      <c r="D31" s="1">
        <f>G3*G5*(1-D27)</f>
        <v>0.10868199999999999</v>
      </c>
    </row>
    <row r="32" spans="2:4" ht="12.75">
      <c r="B32" s="1" t="s">
        <v>19</v>
      </c>
      <c r="C32" s="1" t="s">
        <v>52</v>
      </c>
      <c r="D32" s="1">
        <f>G3*G6*(1-D28)</f>
        <v>0.11664800000000002</v>
      </c>
    </row>
    <row r="34" spans="2:4" ht="12.75">
      <c r="B34" s="1" t="s">
        <v>20</v>
      </c>
      <c r="C34" s="1" t="s">
        <v>53</v>
      </c>
      <c r="D34" s="1">
        <f>SUM(D31:D33)</f>
        <v>0.22533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50"/>
  <sheetViews>
    <sheetView zoomScalePageLayoutView="0" workbookViewId="0" topLeftCell="G1">
      <selection activeCell="L1" sqref="L1:O4"/>
    </sheetView>
  </sheetViews>
  <sheetFormatPr defaultColWidth="9.00390625" defaultRowHeight="12.75"/>
  <cols>
    <col min="10" max="10" width="9.625" style="0" customWidth="1"/>
    <col min="11" max="11" width="13.75390625" style="0" customWidth="1"/>
    <col min="12" max="12" width="11.125" style="0" customWidth="1"/>
    <col min="13" max="29" width="5.75390625" style="0" customWidth="1"/>
  </cols>
  <sheetData>
    <row r="1" spans="12:15" ht="12.75">
      <c r="L1" t="s">
        <v>85</v>
      </c>
      <c r="M1">
        <v>0.6</v>
      </c>
      <c r="N1" t="s">
        <v>86</v>
      </c>
      <c r="O1">
        <v>5</v>
      </c>
    </row>
    <row r="2" spans="2:13" ht="12.75">
      <c r="B2">
        <v>0</v>
      </c>
      <c r="L2" t="s">
        <v>84</v>
      </c>
      <c r="M2">
        <f>1/O1</f>
        <v>0.2</v>
      </c>
    </row>
    <row r="3" spans="2:13" ht="12.75">
      <c r="B3">
        <v>1</v>
      </c>
      <c r="L3" t="s">
        <v>26</v>
      </c>
      <c r="M3">
        <v>0.1</v>
      </c>
    </row>
    <row r="4" spans="2:13" ht="12.75">
      <c r="B4">
        <v>2</v>
      </c>
      <c r="L4" t="s">
        <v>27</v>
      </c>
      <c r="M4">
        <v>0.9</v>
      </c>
    </row>
    <row r="5" ht="12.75">
      <c r="B5">
        <v>3</v>
      </c>
    </row>
    <row r="6" spans="2:29" ht="12.75">
      <c r="B6">
        <v>4</v>
      </c>
      <c r="L6" s="9">
        <v>0</v>
      </c>
      <c r="M6" s="9">
        <v>1</v>
      </c>
      <c r="N6" s="9">
        <v>2</v>
      </c>
      <c r="O6" s="9">
        <v>3</v>
      </c>
      <c r="P6" s="9">
        <v>4</v>
      </c>
      <c r="Q6" s="9">
        <v>5</v>
      </c>
      <c r="R6" s="9">
        <v>6</v>
      </c>
      <c r="S6" s="9">
        <v>7</v>
      </c>
      <c r="T6" s="9">
        <v>8</v>
      </c>
      <c r="U6" s="9">
        <v>9</v>
      </c>
      <c r="V6" s="9">
        <v>10</v>
      </c>
      <c r="W6" s="9">
        <v>11</v>
      </c>
      <c r="X6" s="9">
        <v>12</v>
      </c>
      <c r="Y6" s="9">
        <v>13</v>
      </c>
      <c r="Z6" s="9">
        <v>14</v>
      </c>
      <c r="AA6" s="9">
        <v>15</v>
      </c>
      <c r="AB6" s="9">
        <v>16</v>
      </c>
      <c r="AC6" s="9">
        <v>17</v>
      </c>
    </row>
    <row r="7" spans="2:31" ht="12.75">
      <c r="B7">
        <v>5</v>
      </c>
      <c r="J7">
        <v>0.0032</v>
      </c>
      <c r="K7" s="11">
        <v>0</v>
      </c>
      <c r="L7">
        <v>0</v>
      </c>
      <c r="M7">
        <f>$M$1*$M$4</f>
        <v>0.54</v>
      </c>
      <c r="R7">
        <f>$M$1*$M$3</f>
        <v>0.06</v>
      </c>
      <c r="AD7">
        <f aca="true" t="shared" si="0" ref="AD7:AD24">SUM(L7:AC7)</f>
        <v>0.6000000000000001</v>
      </c>
      <c r="AE7" s="10">
        <v>0</v>
      </c>
    </row>
    <row r="8" spans="2:31" ht="12.75">
      <c r="B8">
        <v>6</v>
      </c>
      <c r="J8">
        <v>0.0085</v>
      </c>
      <c r="K8" s="11">
        <v>1</v>
      </c>
      <c r="L8">
        <f>M2</f>
        <v>0.2</v>
      </c>
      <c r="M8">
        <v>0</v>
      </c>
      <c r="N8">
        <f>$M$1*$M$4</f>
        <v>0.54</v>
      </c>
      <c r="S8">
        <f>$M$1*$M$3</f>
        <v>0.06</v>
      </c>
      <c r="AD8">
        <f t="shared" si="0"/>
        <v>0.8</v>
      </c>
      <c r="AE8" s="10">
        <v>1</v>
      </c>
    </row>
    <row r="9" spans="2:31" ht="12.75">
      <c r="B9">
        <v>7</v>
      </c>
      <c r="J9">
        <v>0.0231</v>
      </c>
      <c r="K9" s="11">
        <v>2</v>
      </c>
      <c r="M9">
        <f>M2</f>
        <v>0.2</v>
      </c>
      <c r="N9">
        <v>0</v>
      </c>
      <c r="O9">
        <f>$M$1*$M$4</f>
        <v>0.54</v>
      </c>
      <c r="T9">
        <f>$M$1*$M$3</f>
        <v>0.06</v>
      </c>
      <c r="AD9">
        <f t="shared" si="0"/>
        <v>0.8</v>
      </c>
      <c r="AE9" s="10">
        <v>2</v>
      </c>
    </row>
    <row r="10" spans="10:31" ht="12.75">
      <c r="J10">
        <v>0.0623</v>
      </c>
      <c r="K10" s="11">
        <v>3</v>
      </c>
      <c r="N10">
        <f>M2</f>
        <v>0.2</v>
      </c>
      <c r="O10">
        <v>0</v>
      </c>
      <c r="P10">
        <f>$M$1*$M$4</f>
        <v>0.54</v>
      </c>
      <c r="U10">
        <f>$M$1*$M$3</f>
        <v>0.06</v>
      </c>
      <c r="AD10">
        <f t="shared" si="0"/>
        <v>0.8</v>
      </c>
      <c r="AE10" s="10">
        <v>3</v>
      </c>
    </row>
    <row r="11" spans="10:31" ht="12.75">
      <c r="J11">
        <v>0.1682</v>
      </c>
      <c r="K11" s="11">
        <v>4</v>
      </c>
      <c r="O11">
        <f>M2</f>
        <v>0.2</v>
      </c>
      <c r="P11">
        <v>0</v>
      </c>
      <c r="Q11">
        <f>$M$1*$M$4</f>
        <v>0.54</v>
      </c>
      <c r="V11">
        <f>$M$1*$M$3</f>
        <v>0.06</v>
      </c>
      <c r="AD11">
        <f t="shared" si="0"/>
        <v>0.8</v>
      </c>
      <c r="AE11" s="10">
        <v>4</v>
      </c>
    </row>
    <row r="12" spans="10:31" ht="12.75">
      <c r="J12">
        <v>0.4541</v>
      </c>
      <c r="K12" s="11">
        <v>5</v>
      </c>
      <c r="P12">
        <f>M2</f>
        <v>0.2</v>
      </c>
      <c r="Q12">
        <v>0</v>
      </c>
      <c r="W12">
        <f>$M$1*$M$3</f>
        <v>0.06</v>
      </c>
      <c r="AD12">
        <f t="shared" si="0"/>
        <v>0.26</v>
      </c>
      <c r="AE12" s="10">
        <v>5</v>
      </c>
    </row>
    <row r="13" spans="10:31" ht="12.75">
      <c r="J13">
        <v>0.0009</v>
      </c>
      <c r="K13" s="11">
        <v>6</v>
      </c>
      <c r="L13">
        <f>M2</f>
        <v>0.2</v>
      </c>
      <c r="R13">
        <v>0</v>
      </c>
      <c r="S13">
        <f>$M$1*$M$4</f>
        <v>0.54</v>
      </c>
      <c r="X13">
        <f>$M$1*$M$3</f>
        <v>0.06</v>
      </c>
      <c r="AD13">
        <f t="shared" si="0"/>
        <v>0.8</v>
      </c>
      <c r="AE13" s="10">
        <v>6</v>
      </c>
    </row>
    <row r="14" spans="10:31" ht="12.75">
      <c r="J14">
        <v>0.0026</v>
      </c>
      <c r="K14" s="11">
        <v>7</v>
      </c>
      <c r="M14">
        <f>M2</f>
        <v>0.2</v>
      </c>
      <c r="R14">
        <f>M2</f>
        <v>0.2</v>
      </c>
      <c r="S14">
        <v>0</v>
      </c>
      <c r="T14">
        <f>$M$1*$M$4</f>
        <v>0.54</v>
      </c>
      <c r="Y14">
        <f>$M$1*$M$3</f>
        <v>0.06</v>
      </c>
      <c r="AD14">
        <f t="shared" si="0"/>
        <v>1</v>
      </c>
      <c r="AE14" s="10">
        <v>7</v>
      </c>
    </row>
    <row r="15" spans="10:31" ht="12.75">
      <c r="J15">
        <v>0.0069</v>
      </c>
      <c r="K15" s="11">
        <v>8</v>
      </c>
      <c r="N15">
        <f>M2</f>
        <v>0.2</v>
      </c>
      <c r="S15">
        <f>M2</f>
        <v>0.2</v>
      </c>
      <c r="T15">
        <v>0</v>
      </c>
      <c r="U15">
        <f>$M$1*$M$4</f>
        <v>0.54</v>
      </c>
      <c r="Z15">
        <f>$M$1*$M$3</f>
        <v>0.06</v>
      </c>
      <c r="AD15">
        <f t="shared" si="0"/>
        <v>1</v>
      </c>
      <c r="AE15" s="10">
        <v>8</v>
      </c>
    </row>
    <row r="16" spans="10:31" ht="12.75">
      <c r="J16">
        <v>0.0187</v>
      </c>
      <c r="K16" s="11">
        <v>9</v>
      </c>
      <c r="O16">
        <f>M2</f>
        <v>0.2</v>
      </c>
      <c r="T16">
        <f>M2</f>
        <v>0.2</v>
      </c>
      <c r="U16">
        <v>0</v>
      </c>
      <c r="V16">
        <f>$M$1*$M$4</f>
        <v>0.54</v>
      </c>
      <c r="AA16">
        <f>$M$1*$M$3</f>
        <v>0.06</v>
      </c>
      <c r="AD16">
        <f t="shared" si="0"/>
        <v>1</v>
      </c>
      <c r="AE16" s="10">
        <v>9</v>
      </c>
    </row>
    <row r="17" spans="10:31" ht="12.75">
      <c r="J17">
        <v>0.0505</v>
      </c>
      <c r="K17" s="11">
        <v>10</v>
      </c>
      <c r="P17">
        <f>M2</f>
        <v>0.2</v>
      </c>
      <c r="U17">
        <f>M2</f>
        <v>0.2</v>
      </c>
      <c r="V17">
        <v>0</v>
      </c>
      <c r="W17">
        <f>$M$1*$M$4</f>
        <v>0.54</v>
      </c>
      <c r="AB17">
        <f>$M$1*$M$3</f>
        <v>0.06</v>
      </c>
      <c r="AD17">
        <f t="shared" si="0"/>
        <v>1</v>
      </c>
      <c r="AE17" s="10">
        <v>10</v>
      </c>
    </row>
    <row r="18" spans="10:31" ht="12.75">
      <c r="J18">
        <v>0.1362</v>
      </c>
      <c r="K18" s="11">
        <v>11</v>
      </c>
      <c r="Q18">
        <f>M2</f>
        <v>0.2</v>
      </c>
      <c r="V18">
        <f>M2</f>
        <v>0.2</v>
      </c>
      <c r="W18">
        <v>0</v>
      </c>
      <c r="AC18">
        <f>$M$1*$M$3</f>
        <v>0.06</v>
      </c>
      <c r="AD18">
        <f t="shared" si="0"/>
        <v>0.46</v>
      </c>
      <c r="AE18" s="10">
        <v>11</v>
      </c>
    </row>
    <row r="19" spans="10:31" ht="12.75">
      <c r="J19">
        <v>0.0003</v>
      </c>
      <c r="K19" s="11">
        <v>12</v>
      </c>
      <c r="R19">
        <f>M2</f>
        <v>0.2</v>
      </c>
      <c r="X19">
        <v>0</v>
      </c>
      <c r="Y19">
        <f>$M$1*$M$4</f>
        <v>0.54</v>
      </c>
      <c r="AD19">
        <f t="shared" si="0"/>
        <v>0.74</v>
      </c>
      <c r="AE19" s="10">
        <v>12</v>
      </c>
    </row>
    <row r="20" spans="10:31" ht="12.75">
      <c r="J20">
        <v>0.0008</v>
      </c>
      <c r="K20" s="11">
        <v>13</v>
      </c>
      <c r="S20">
        <f>M2</f>
        <v>0.2</v>
      </c>
      <c r="X20">
        <f>M2</f>
        <v>0.2</v>
      </c>
      <c r="Y20">
        <v>0</v>
      </c>
      <c r="Z20">
        <f>$M$1*$M$4</f>
        <v>0.54</v>
      </c>
      <c r="AD20">
        <f t="shared" si="0"/>
        <v>0.9400000000000001</v>
      </c>
      <c r="AE20" s="10">
        <v>13</v>
      </c>
    </row>
    <row r="21" spans="10:31" ht="12.75">
      <c r="J21">
        <v>0.0021</v>
      </c>
      <c r="K21" s="11">
        <v>14</v>
      </c>
      <c r="T21">
        <f>M2</f>
        <v>0.2</v>
      </c>
      <c r="Y21">
        <f>M2</f>
        <v>0.2</v>
      </c>
      <c r="Z21">
        <v>0</v>
      </c>
      <c r="AA21">
        <f>$M$1*$M$4</f>
        <v>0.54</v>
      </c>
      <c r="AD21">
        <f t="shared" si="0"/>
        <v>0.9400000000000001</v>
      </c>
      <c r="AE21" s="10">
        <v>14</v>
      </c>
    </row>
    <row r="22" spans="10:31" ht="12.75">
      <c r="J22">
        <v>0.0056</v>
      </c>
      <c r="K22" s="11">
        <v>15</v>
      </c>
      <c r="U22">
        <f>M2</f>
        <v>0.2</v>
      </c>
      <c r="Z22">
        <f>M2</f>
        <v>0.2</v>
      </c>
      <c r="AA22">
        <v>0</v>
      </c>
      <c r="AB22">
        <f>$M$1*$M$4</f>
        <v>0.54</v>
      </c>
      <c r="AD22">
        <f t="shared" si="0"/>
        <v>0.9400000000000001</v>
      </c>
      <c r="AE22" s="10">
        <v>15</v>
      </c>
    </row>
    <row r="23" spans="10:31" ht="12.75">
      <c r="J23">
        <v>0.0151</v>
      </c>
      <c r="K23" s="11">
        <v>16</v>
      </c>
      <c r="V23">
        <f>M2</f>
        <v>0.2</v>
      </c>
      <c r="AA23">
        <f>M2</f>
        <v>0.2</v>
      </c>
      <c r="AB23">
        <v>0</v>
      </c>
      <c r="AC23">
        <f>$M$1*$M$4</f>
        <v>0.54</v>
      </c>
      <c r="AD23">
        <f t="shared" si="0"/>
        <v>0.9400000000000001</v>
      </c>
      <c r="AE23" s="10">
        <v>16</v>
      </c>
    </row>
    <row r="24" spans="10:31" ht="12.75">
      <c r="J24">
        <v>0.0409</v>
      </c>
      <c r="K24" s="11">
        <v>17</v>
      </c>
      <c r="W24">
        <f>M2</f>
        <v>0.2</v>
      </c>
      <c r="AB24">
        <f>M2</f>
        <v>0.2</v>
      </c>
      <c r="AC24">
        <v>0</v>
      </c>
      <c r="AD24">
        <f t="shared" si="0"/>
        <v>0.4</v>
      </c>
      <c r="AE24" s="10">
        <v>17</v>
      </c>
    </row>
    <row r="25" ht="12.75">
      <c r="J25">
        <f>SUM(J7:J24)</f>
        <v>1.0000000000000002</v>
      </c>
    </row>
    <row r="43" ht="13.5" thickBot="1"/>
    <row r="44" spans="10:20" ht="15.75" thickBot="1">
      <c r="J44" s="15" t="s">
        <v>87</v>
      </c>
      <c r="K44" s="16" t="s">
        <v>88</v>
      </c>
      <c r="L44" s="16" t="s">
        <v>89</v>
      </c>
      <c r="M44" s="16" t="s">
        <v>90</v>
      </c>
      <c r="N44" s="16" t="s">
        <v>91</v>
      </c>
      <c r="O44" s="16" t="s">
        <v>92</v>
      </c>
      <c r="P44" s="16" t="s">
        <v>93</v>
      </c>
      <c r="Q44" s="16" t="s">
        <v>94</v>
      </c>
      <c r="R44" s="16" t="s">
        <v>95</v>
      </c>
      <c r="S44" s="16" t="s">
        <v>96</v>
      </c>
      <c r="T44" s="16" t="s">
        <v>97</v>
      </c>
    </row>
    <row r="45" spans="10:20" ht="30.75" thickBot="1">
      <c r="J45" s="17" t="s">
        <v>98</v>
      </c>
      <c r="K45" s="18" t="s">
        <v>99</v>
      </c>
      <c r="L45" s="18" t="s">
        <v>100</v>
      </c>
      <c r="M45" s="18" t="s">
        <v>101</v>
      </c>
      <c r="N45" s="18" t="s">
        <v>102</v>
      </c>
      <c r="O45" s="18" t="s">
        <v>103</v>
      </c>
      <c r="P45" s="18" t="s">
        <v>104</v>
      </c>
      <c r="Q45" s="18" t="s">
        <v>105</v>
      </c>
      <c r="R45" s="18" t="s">
        <v>115</v>
      </c>
      <c r="S45" s="18" t="s">
        <v>116</v>
      </c>
      <c r="T45" s="18" t="s">
        <v>117</v>
      </c>
    </row>
    <row r="46" spans="10:20" ht="15.75" thickBot="1">
      <c r="J46" s="17" t="s">
        <v>87</v>
      </c>
      <c r="K46" s="19" t="s">
        <v>106</v>
      </c>
      <c r="L46" s="19" t="s">
        <v>107</v>
      </c>
      <c r="M46" s="19" t="s">
        <v>108</v>
      </c>
      <c r="N46" s="19" t="s">
        <v>109</v>
      </c>
      <c r="O46" s="19" t="s">
        <v>110</v>
      </c>
      <c r="P46" s="19" t="s">
        <v>111</v>
      </c>
      <c r="Q46" s="19" t="s">
        <v>112</v>
      </c>
      <c r="R46" s="19" t="s">
        <v>113</v>
      </c>
      <c r="S46" s="19"/>
      <c r="T46" s="19"/>
    </row>
    <row r="47" spans="10:20" ht="30.75" thickBot="1">
      <c r="J47" s="17" t="s">
        <v>98</v>
      </c>
      <c r="K47" s="18" t="s">
        <v>118</v>
      </c>
      <c r="L47" s="18" t="s">
        <v>119</v>
      </c>
      <c r="M47" s="18" t="s">
        <v>114</v>
      </c>
      <c r="N47" s="18" t="s">
        <v>120</v>
      </c>
      <c r="O47" s="18" t="s">
        <v>121</v>
      </c>
      <c r="P47" s="18" t="s">
        <v>122</v>
      </c>
      <c r="Q47" s="18" t="s">
        <v>123</v>
      </c>
      <c r="R47" s="18" t="s">
        <v>124</v>
      </c>
      <c r="S47" s="18"/>
      <c r="T47" s="18"/>
    </row>
    <row r="48" ht="13.5" thickBot="1"/>
    <row r="49" spans="10:18" ht="15.75" thickBot="1">
      <c r="J49" s="12" t="s">
        <v>87</v>
      </c>
      <c r="K49" s="20" t="s">
        <v>88</v>
      </c>
      <c r="L49" s="20" t="s">
        <v>89</v>
      </c>
      <c r="M49" s="20" t="s">
        <v>90</v>
      </c>
      <c r="N49" s="20" t="s">
        <v>91</v>
      </c>
      <c r="O49" s="20" t="s">
        <v>92</v>
      </c>
      <c r="P49" s="20" t="s">
        <v>93</v>
      </c>
      <c r="Q49" s="20" t="s">
        <v>94</v>
      </c>
      <c r="R49" s="20" t="s">
        <v>95</v>
      </c>
    </row>
    <row r="50" spans="10:18" ht="30.75" thickBot="1">
      <c r="J50" s="13" t="s">
        <v>98</v>
      </c>
      <c r="K50" s="14">
        <v>0</v>
      </c>
      <c r="L50" s="14">
        <v>1</v>
      </c>
      <c r="M50" s="14">
        <v>2</v>
      </c>
      <c r="N50" s="14">
        <v>3</v>
      </c>
      <c r="O50" s="14">
        <v>4</v>
      </c>
      <c r="P50" s="14">
        <v>5</v>
      </c>
      <c r="Q50" s="14">
        <v>6</v>
      </c>
      <c r="R50" s="14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18.125" style="3" customWidth="1"/>
    <col min="2" max="2" width="7.625" style="3" customWidth="1"/>
    <col min="3" max="3" width="55.25390625" style="3" customWidth="1"/>
    <col min="4" max="4" width="10.375" style="3" customWidth="1"/>
    <col min="5" max="5" width="3.25390625" style="3" customWidth="1"/>
    <col min="6" max="6" width="9.125" style="3" customWidth="1"/>
    <col min="7" max="7" width="13.125" style="3" customWidth="1"/>
    <col min="8" max="16384" width="9.125" style="3" customWidth="1"/>
  </cols>
  <sheetData>
    <row r="1" ht="12.75">
      <c r="C1" s="3" t="s">
        <v>83</v>
      </c>
    </row>
    <row r="2" s="5" customFormat="1" ht="12.75"/>
    <row r="3" spans="1:7" ht="12.75">
      <c r="A3" s="1" t="s">
        <v>0</v>
      </c>
      <c r="B3" s="1" t="s">
        <v>1</v>
      </c>
      <c r="C3" s="1" t="s">
        <v>2</v>
      </c>
      <c r="D3" s="1" t="s">
        <v>3</v>
      </c>
      <c r="E3" s="1"/>
      <c r="F3" s="1" t="s">
        <v>4</v>
      </c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10</v>
      </c>
      <c r="B5" s="1" t="s">
        <v>18</v>
      </c>
      <c r="C5" s="4" t="s">
        <v>21</v>
      </c>
      <c r="D5" s="1">
        <f>G5*G7/G6</f>
        <v>1.2</v>
      </c>
      <c r="E5" s="1"/>
      <c r="F5" s="1" t="s">
        <v>5</v>
      </c>
      <c r="G5" s="1">
        <v>0.8</v>
      </c>
    </row>
    <row r="6" spans="1:7" ht="12.75">
      <c r="A6" s="1"/>
      <c r="B6" s="1" t="s">
        <v>19</v>
      </c>
      <c r="C6" s="4" t="s">
        <v>23</v>
      </c>
      <c r="D6" s="1">
        <f>G5*G8/G6</f>
        <v>2.7999999999999994</v>
      </c>
      <c r="E6" s="1"/>
      <c r="F6" s="1" t="s">
        <v>6</v>
      </c>
      <c r="G6" s="1">
        <v>0.2</v>
      </c>
    </row>
    <row r="7" spans="1:7" ht="12.75">
      <c r="A7" s="1"/>
      <c r="B7" s="1" t="s">
        <v>20</v>
      </c>
      <c r="C7" s="4" t="s">
        <v>69</v>
      </c>
      <c r="D7" s="1">
        <f>SUM(D5:D6)</f>
        <v>3.999999999999999</v>
      </c>
      <c r="E7" s="1"/>
      <c r="F7" s="1" t="s">
        <v>7</v>
      </c>
      <c r="G7" s="1">
        <v>0.3</v>
      </c>
    </row>
    <row r="8" spans="1:7" ht="12.75">
      <c r="A8" s="1" t="s">
        <v>11</v>
      </c>
      <c r="B8" s="1" t="s">
        <v>18</v>
      </c>
      <c r="C8" s="6" t="s">
        <v>57</v>
      </c>
      <c r="D8" s="1">
        <f>SUM(G11,G14,G13,G16,G17,G18,G19,G20,G21)</f>
        <v>0.8137</v>
      </c>
      <c r="E8" s="1"/>
      <c r="F8" s="1" t="s">
        <v>8</v>
      </c>
      <c r="G8" s="1">
        <v>0.7</v>
      </c>
    </row>
    <row r="9" spans="1:7" ht="12.75">
      <c r="A9" s="1"/>
      <c r="B9" s="1" t="s">
        <v>19</v>
      </c>
      <c r="C9" s="6" t="s">
        <v>58</v>
      </c>
      <c r="D9" s="1">
        <f>SUM(G12,G14,G15,G17,G18,G19,G20,G21)</f>
        <v>0.9140999999999999</v>
      </c>
      <c r="E9" s="1"/>
      <c r="F9" s="1"/>
      <c r="G9" s="1"/>
    </row>
    <row r="10" spans="1:7" ht="12.75">
      <c r="A10" s="1"/>
      <c r="B10" s="1" t="s">
        <v>20</v>
      </c>
      <c r="C10" s="4" t="s">
        <v>59</v>
      </c>
      <c r="D10" s="1">
        <f>SUM(D8:D9)/COUNT(D8:D9)</f>
        <v>0.8638999999999999</v>
      </c>
      <c r="E10" s="1"/>
      <c r="F10" s="1" t="s">
        <v>32</v>
      </c>
      <c r="G10" s="1">
        <v>0.016</v>
      </c>
    </row>
    <row r="11" spans="1:7" ht="12.75">
      <c r="A11" s="1" t="s">
        <v>12</v>
      </c>
      <c r="B11" s="1" t="s">
        <v>18</v>
      </c>
      <c r="C11" s="4" t="s">
        <v>60</v>
      </c>
      <c r="D11" s="1">
        <f>G13+2*G16+G17+2*G19+G20+2*G21</f>
        <v>0.9119999999999999</v>
      </c>
      <c r="E11" s="1"/>
      <c r="F11" s="1" t="s">
        <v>26</v>
      </c>
      <c r="G11" s="1">
        <v>0.0192</v>
      </c>
    </row>
    <row r="12" spans="1:7" ht="12.75">
      <c r="A12" s="1"/>
      <c r="B12" s="1" t="s">
        <v>19</v>
      </c>
      <c r="C12" s="6" t="s">
        <v>61</v>
      </c>
      <c r="D12" s="1">
        <f>G15+G18+G20+G21</f>
        <v>0.6736</v>
      </c>
      <c r="E12" s="1"/>
      <c r="F12" s="1" t="s">
        <v>27</v>
      </c>
      <c r="G12" s="1">
        <v>0.0448</v>
      </c>
    </row>
    <row r="13" spans="1:7" ht="12.75">
      <c r="A13" s="1"/>
      <c r="B13" s="1" t="s">
        <v>20</v>
      </c>
      <c r="C13" s="6" t="s">
        <v>62</v>
      </c>
      <c r="D13" s="1">
        <f>SUM(D11:D12)</f>
        <v>1.5856</v>
      </c>
      <c r="E13" s="1"/>
      <c r="F13" s="1" t="s">
        <v>28</v>
      </c>
      <c r="G13" s="1">
        <v>0.023</v>
      </c>
    </row>
    <row r="14" spans="1:7" ht="12.75">
      <c r="A14" s="1" t="s">
        <v>13</v>
      </c>
      <c r="B14" s="1" t="s">
        <v>18</v>
      </c>
      <c r="C14" s="6" t="s">
        <v>63</v>
      </c>
      <c r="D14" s="1">
        <f>G11+2*G13+G14+3*G16+2*G17+G18+3*G19+2*G20+3*G21</f>
        <v>1.7256999999999998</v>
      </c>
      <c r="E14" s="1"/>
      <c r="F14" s="1" t="s">
        <v>29</v>
      </c>
      <c r="G14" s="1">
        <v>0.0538</v>
      </c>
    </row>
    <row r="15" spans="1:7" ht="12.75">
      <c r="A15" s="1"/>
      <c r="B15" s="1" t="s">
        <v>19</v>
      </c>
      <c r="C15" s="6" t="s">
        <v>64</v>
      </c>
      <c r="D15" s="1">
        <f>G12+G14+2*G15+G17+2*G18+G19+2*G20+3*G21</f>
        <v>1.8045</v>
      </c>
      <c r="E15" s="1"/>
      <c r="F15" s="1" t="s">
        <v>30</v>
      </c>
      <c r="G15" s="1">
        <v>0.1255</v>
      </c>
    </row>
    <row r="16" spans="1:7" ht="12.75">
      <c r="A16" s="1"/>
      <c r="B16" s="1" t="s">
        <v>20</v>
      </c>
      <c r="C16" s="6" t="s">
        <v>65</v>
      </c>
      <c r="D16" s="1">
        <f>SUM(D14:D15)</f>
        <v>3.5302</v>
      </c>
      <c r="E16" s="1"/>
      <c r="F16" s="1" t="s">
        <v>31</v>
      </c>
      <c r="G16" s="1">
        <v>0.0277</v>
      </c>
    </row>
    <row r="17" spans="1:7" ht="12.75">
      <c r="A17" s="1" t="s">
        <v>14</v>
      </c>
      <c r="B17" s="1" t="s">
        <v>18</v>
      </c>
      <c r="C17" s="4" t="s">
        <v>45</v>
      </c>
      <c r="D17" s="1">
        <f>D11/D26</f>
        <v>5.60389323108686</v>
      </c>
      <c r="E17" s="1"/>
      <c r="F17" s="1" t="s">
        <v>33</v>
      </c>
      <c r="G17" s="1">
        <v>0.0645</v>
      </c>
    </row>
    <row r="18" spans="1:7" ht="12.75">
      <c r="A18" s="1"/>
      <c r="B18" s="1" t="s">
        <v>19</v>
      </c>
      <c r="C18" s="4" t="s">
        <v>54</v>
      </c>
      <c r="D18" s="1">
        <f>D12/D27</f>
        <v>3.685224089635854</v>
      </c>
      <c r="E18" s="1"/>
      <c r="F18" s="1" t="s">
        <v>34</v>
      </c>
      <c r="G18" s="1">
        <v>0.1506</v>
      </c>
    </row>
    <row r="19" spans="1:7" ht="12.75">
      <c r="A19" s="1"/>
      <c r="B19" s="1" t="s">
        <v>20</v>
      </c>
      <c r="C19" s="4" t="s">
        <v>70</v>
      </c>
      <c r="D19" s="1">
        <f>D13/D28</f>
        <v>4.588918987752078</v>
      </c>
      <c r="E19" s="1"/>
      <c r="F19" s="1" t="s">
        <v>35</v>
      </c>
      <c r="G19" s="1">
        <v>0.0774</v>
      </c>
    </row>
    <row r="20" spans="1:7" ht="12.75">
      <c r="A20" s="1" t="s">
        <v>15</v>
      </c>
      <c r="B20" s="1" t="s">
        <v>18</v>
      </c>
      <c r="C20" s="4" t="s">
        <v>46</v>
      </c>
      <c r="D20" s="1">
        <f>D14/D26</f>
        <v>10.60377033869144</v>
      </c>
      <c r="E20" s="1"/>
      <c r="F20" s="1" t="s">
        <v>36</v>
      </c>
      <c r="G20" s="1">
        <v>0.1807</v>
      </c>
    </row>
    <row r="21" spans="1:7" ht="12.75">
      <c r="A21" s="1"/>
      <c r="B21" s="1" t="s">
        <v>19</v>
      </c>
      <c r="C21" s="4" t="s">
        <v>47</v>
      </c>
      <c r="D21" s="1">
        <f>D15/D27</f>
        <v>9.872308298319327</v>
      </c>
      <c r="E21" s="1"/>
      <c r="F21" s="1" t="s">
        <v>37</v>
      </c>
      <c r="G21" s="1">
        <v>0.2168</v>
      </c>
    </row>
    <row r="22" spans="1:7" ht="12.75">
      <c r="A22" s="1"/>
      <c r="B22" s="1" t="s">
        <v>20</v>
      </c>
      <c r="C22" s="4" t="s">
        <v>48</v>
      </c>
      <c r="D22" s="1">
        <f>D16/D28</f>
        <v>10.216827579819869</v>
      </c>
      <c r="E22" s="1"/>
      <c r="F22" s="1"/>
      <c r="G22" s="1"/>
    </row>
    <row r="23" spans="1:7" ht="12.75">
      <c r="A23" s="1" t="s">
        <v>16</v>
      </c>
      <c r="B23" s="1" t="s">
        <v>18</v>
      </c>
      <c r="C23" s="6" t="s">
        <v>68</v>
      </c>
      <c r="D23" s="1">
        <f>G16+G19+G21</f>
        <v>0.32189999999999996</v>
      </c>
      <c r="E23" s="1"/>
      <c r="F23" s="1"/>
      <c r="G23" s="1"/>
    </row>
    <row r="24" spans="1:7" ht="12.75">
      <c r="A24" s="1"/>
      <c r="B24" s="1" t="s">
        <v>19</v>
      </c>
      <c r="C24" s="6" t="s">
        <v>66</v>
      </c>
      <c r="D24" s="1">
        <f>G15+G18+G20+G21</f>
        <v>0.6736</v>
      </c>
      <c r="E24" s="1"/>
      <c r="F24" s="1"/>
      <c r="G24" s="1"/>
    </row>
    <row r="25" spans="1:7" ht="12.75">
      <c r="A25" s="1"/>
      <c r="B25" s="1" t="s">
        <v>20</v>
      </c>
      <c r="C25" s="4" t="s">
        <v>67</v>
      </c>
      <c r="D25" s="1">
        <f>G7*D23+G8*D24</f>
        <v>0.56809</v>
      </c>
      <c r="E25" s="1"/>
      <c r="F25" s="1"/>
      <c r="G25" s="1"/>
    </row>
    <row r="26" spans="1:7" ht="12.75">
      <c r="A26" s="1" t="s">
        <v>17</v>
      </c>
      <c r="B26" s="1" t="s">
        <v>18</v>
      </c>
      <c r="C26" s="4" t="s">
        <v>51</v>
      </c>
      <c r="D26" s="1">
        <f>G5*G7*(1-D23)</f>
        <v>0.162744</v>
      </c>
      <c r="E26" s="1"/>
      <c r="F26" s="1"/>
      <c r="G26" s="1"/>
    </row>
    <row r="27" spans="1:7" ht="12.75">
      <c r="A27" s="1"/>
      <c r="B27" s="1" t="s">
        <v>19</v>
      </c>
      <c r="C27" s="4" t="s">
        <v>52</v>
      </c>
      <c r="D27" s="1">
        <f>G5*G8*(1-D24)</f>
        <v>0.182784</v>
      </c>
      <c r="E27" s="1"/>
      <c r="F27" s="1"/>
      <c r="G27" s="1">
        <f>SUM(G10:G21)</f>
        <v>1</v>
      </c>
    </row>
    <row r="28" spans="1:7" ht="12.75">
      <c r="A28" s="1"/>
      <c r="B28" s="1" t="s">
        <v>20</v>
      </c>
      <c r="C28" s="4" t="s">
        <v>71</v>
      </c>
      <c r="D28" s="1">
        <f>SUM(D26:D27)</f>
        <v>0.345528</v>
      </c>
      <c r="E28" s="1"/>
      <c r="F28" s="1"/>
      <c r="G28" s="1"/>
    </row>
    <row r="29" ht="12.75">
      <c r="A29" s="2"/>
    </row>
    <row r="30" ht="12.75">
      <c r="A30" s="2"/>
    </row>
    <row r="32" ht="12.75">
      <c r="A32" s="2"/>
    </row>
    <row r="33" ht="12.75">
      <c r="A33" s="2"/>
    </row>
    <row r="34" ht="12.75">
      <c r="A34" s="2"/>
    </row>
    <row r="46" ht="12.75">
      <c r="C46" s="3" t="s">
        <v>83</v>
      </c>
    </row>
    <row r="52" spans="1:7" ht="12.75">
      <c r="A52" s="1" t="s">
        <v>0</v>
      </c>
      <c r="B52" s="1" t="s">
        <v>1</v>
      </c>
      <c r="C52" s="1" t="s">
        <v>2</v>
      </c>
      <c r="D52" s="1" t="s">
        <v>3</v>
      </c>
      <c r="E52" s="1"/>
      <c r="F52" s="1" t="s">
        <v>4</v>
      </c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 t="s">
        <v>10</v>
      </c>
      <c r="B54" s="1" t="s">
        <v>18</v>
      </c>
      <c r="C54" s="4" t="s">
        <v>21</v>
      </c>
      <c r="D54" s="1">
        <f>G54*G56/G55</f>
        <v>1.2</v>
      </c>
      <c r="E54" s="1"/>
      <c r="F54" s="1" t="s">
        <v>5</v>
      </c>
      <c r="G54" s="1">
        <v>0.8</v>
      </c>
    </row>
    <row r="55" spans="1:7" ht="12.75">
      <c r="A55" s="1"/>
      <c r="B55" s="1" t="s">
        <v>19</v>
      </c>
      <c r="C55" s="4" t="s">
        <v>23</v>
      </c>
      <c r="D55" s="1">
        <f>G54*G57/G55</f>
        <v>2.7999999999999994</v>
      </c>
      <c r="E55" s="1"/>
      <c r="F55" s="1" t="s">
        <v>6</v>
      </c>
      <c r="G55" s="1">
        <v>0.2</v>
      </c>
    </row>
    <row r="56" spans="1:7" ht="12.75">
      <c r="A56" s="1"/>
      <c r="B56" s="1" t="s">
        <v>20</v>
      </c>
      <c r="C56" s="4" t="s">
        <v>69</v>
      </c>
      <c r="D56" s="1">
        <f>SUM(D54:D55)</f>
        <v>3.999999999999999</v>
      </c>
      <c r="E56" s="1"/>
      <c r="F56" s="1" t="s">
        <v>7</v>
      </c>
      <c r="G56" s="1">
        <v>0.3</v>
      </c>
    </row>
    <row r="57" spans="1:7" ht="12.75">
      <c r="A57" s="1" t="s">
        <v>11</v>
      </c>
      <c r="B57" s="1" t="s">
        <v>18</v>
      </c>
      <c r="C57" s="8" t="s">
        <v>75</v>
      </c>
      <c r="D57" s="1">
        <f>SUM(G60,G62,G63,G65,G66,G67,G69,G68,G70,G71,G72,G73)</f>
        <v>0.8657</v>
      </c>
      <c r="E57" s="1"/>
      <c r="F57" s="1" t="s">
        <v>8</v>
      </c>
      <c r="G57" s="1">
        <v>0.7</v>
      </c>
    </row>
    <row r="58" spans="1:7" ht="12.75">
      <c r="A58" s="1"/>
      <c r="B58" s="1" t="s">
        <v>19</v>
      </c>
      <c r="C58" s="8" t="s">
        <v>76</v>
      </c>
      <c r="D58" s="1">
        <f>SUM(G61,G63:G64,G66:G70,G72:G73)</f>
        <v>0.9007</v>
      </c>
      <c r="E58" s="1"/>
      <c r="F58" s="1"/>
      <c r="G58" s="1"/>
    </row>
    <row r="59" spans="1:7" ht="12.75">
      <c r="A59" s="1"/>
      <c r="B59" s="1" t="s">
        <v>20</v>
      </c>
      <c r="C59" s="4" t="s">
        <v>59</v>
      </c>
      <c r="D59" s="1">
        <f>SUM(D57:D58)/COUNT(D57:D58)</f>
        <v>0.8832</v>
      </c>
      <c r="E59" s="1"/>
      <c r="F59" s="1" t="s">
        <v>32</v>
      </c>
      <c r="G59" s="1">
        <v>0.0116</v>
      </c>
    </row>
    <row r="60" spans="1:7" ht="12.75">
      <c r="A60" s="1" t="s">
        <v>12</v>
      </c>
      <c r="B60" s="1" t="s">
        <v>18</v>
      </c>
      <c r="C60" s="7" t="s">
        <v>77</v>
      </c>
      <c r="D60" s="1">
        <f>SUM(G62,G66,G69)+2*SUM(G65,G68,G70)+3*SUM(G71:G73)</f>
        <v>1.4939</v>
      </c>
      <c r="E60" s="1"/>
      <c r="F60" s="1" t="s">
        <v>26</v>
      </c>
      <c r="G60" s="1">
        <v>0.0141</v>
      </c>
    </row>
    <row r="61" spans="1:7" ht="12.75">
      <c r="A61" s="1"/>
      <c r="B61" s="1" t="s">
        <v>19</v>
      </c>
      <c r="C61" s="8" t="s">
        <v>78</v>
      </c>
      <c r="D61" s="1">
        <f>G64+G67+G69+G70+G73</f>
        <v>0.6224</v>
      </c>
      <c r="E61" s="1"/>
      <c r="F61" s="1" t="s">
        <v>27</v>
      </c>
      <c r="G61" s="1">
        <v>0.0324</v>
      </c>
    </row>
    <row r="62" spans="1:7" ht="12.75">
      <c r="A62" s="1"/>
      <c r="B62" s="1" t="s">
        <v>20</v>
      </c>
      <c r="C62" s="6" t="s">
        <v>62</v>
      </c>
      <c r="D62" s="1">
        <f>SUM(D60:D61)</f>
        <v>2.1163</v>
      </c>
      <c r="E62" s="1"/>
      <c r="F62" s="1" t="s">
        <v>28</v>
      </c>
      <c r="G62" s="1">
        <v>0.0175</v>
      </c>
    </row>
    <row r="63" spans="1:7" ht="12.75">
      <c r="A63" s="1" t="s">
        <v>13</v>
      </c>
      <c r="B63" s="1" t="s">
        <v>18</v>
      </c>
      <c r="C63" s="8" t="s">
        <v>79</v>
      </c>
      <c r="D63" s="1">
        <f>G60+2*G62+G63+3*G65+2*G66+G67+3*G68+2*G69+3*G70+4*SUM(G71:G73)</f>
        <v>2.3596</v>
      </c>
      <c r="E63" s="1"/>
      <c r="F63" s="1" t="s">
        <v>29</v>
      </c>
      <c r="G63" s="1">
        <v>0.039</v>
      </c>
    </row>
    <row r="64" spans="1:7" ht="12.75">
      <c r="A64" s="1"/>
      <c r="B64" s="1" t="s">
        <v>19</v>
      </c>
      <c r="C64" s="8" t="s">
        <v>80</v>
      </c>
      <c r="D64" s="1">
        <f>G61+G63+2*G64+G66+2*G67+G68+2*G69+3*G70+G72+2*G73</f>
        <v>1.671</v>
      </c>
      <c r="E64" s="1"/>
      <c r="F64" s="1" t="s">
        <v>30</v>
      </c>
      <c r="G64" s="1">
        <v>0.0904</v>
      </c>
    </row>
    <row r="65" spans="1:7" ht="12.75">
      <c r="A65" s="1"/>
      <c r="B65" s="1" t="s">
        <v>20</v>
      </c>
      <c r="C65" s="6" t="s">
        <v>65</v>
      </c>
      <c r="D65" s="1">
        <f>SUM(D63:D64)</f>
        <v>4.0306</v>
      </c>
      <c r="E65" s="1"/>
      <c r="F65" s="1" t="s">
        <v>31</v>
      </c>
      <c r="G65" s="1">
        <v>0.0231</v>
      </c>
    </row>
    <row r="66" spans="1:7" ht="12.75">
      <c r="A66" s="1" t="s">
        <v>14</v>
      </c>
      <c r="B66" s="1" t="s">
        <v>18</v>
      </c>
      <c r="C66" s="4" t="s">
        <v>45</v>
      </c>
      <c r="D66" s="1">
        <f>D60/D75</f>
        <v>8.628477035394141</v>
      </c>
      <c r="E66" s="1"/>
      <c r="F66" s="1" t="s">
        <v>33</v>
      </c>
      <c r="G66" s="1">
        <v>0.0476</v>
      </c>
    </row>
    <row r="67" spans="1:7" ht="12.75">
      <c r="A67" s="1"/>
      <c r="B67" s="1" t="s">
        <v>19</v>
      </c>
      <c r="C67" s="4" t="s">
        <v>54</v>
      </c>
      <c r="D67" s="1">
        <f>D61/D76</f>
        <v>2.9434019370460045</v>
      </c>
      <c r="E67" s="1"/>
      <c r="F67" s="1" t="s">
        <v>34</v>
      </c>
      <c r="G67" s="1">
        <v>0.1082</v>
      </c>
    </row>
    <row r="68" spans="1:7" ht="12.75">
      <c r="A68" s="1"/>
      <c r="B68" s="1" t="s">
        <v>20</v>
      </c>
      <c r="C68" s="4" t="s">
        <v>70</v>
      </c>
      <c r="D68" s="1">
        <f>D62/D77</f>
        <v>5.502714565045554</v>
      </c>
      <c r="E68" s="1"/>
      <c r="F68" s="1" t="s">
        <v>35</v>
      </c>
      <c r="G68" s="1">
        <v>0.0613</v>
      </c>
    </row>
    <row r="69" spans="1:7" ht="12.75">
      <c r="A69" s="1" t="s">
        <v>15</v>
      </c>
      <c r="B69" s="1" t="s">
        <v>18</v>
      </c>
      <c r="C69" s="4" t="s">
        <v>46</v>
      </c>
      <c r="D69" s="1">
        <f>D63/D75</f>
        <v>13.62859255152019</v>
      </c>
      <c r="E69" s="1"/>
      <c r="F69" s="1" t="s">
        <v>36</v>
      </c>
      <c r="G69" s="1">
        <v>0.1284</v>
      </c>
    </row>
    <row r="70" spans="1:7" ht="12.75">
      <c r="A70" s="1"/>
      <c r="B70" s="1" t="s">
        <v>19</v>
      </c>
      <c r="C70" s="4" t="s">
        <v>47</v>
      </c>
      <c r="D70" s="1">
        <f>D64/D76</f>
        <v>7.902353208232445</v>
      </c>
      <c r="E70" s="1"/>
      <c r="F70" s="1" t="s">
        <v>37</v>
      </c>
      <c r="G70" s="1">
        <v>0.1479</v>
      </c>
    </row>
    <row r="71" spans="1:7" ht="12.75">
      <c r="A71" s="1"/>
      <c r="B71" s="1" t="s">
        <v>20</v>
      </c>
      <c r="C71" s="4" t="s">
        <v>48</v>
      </c>
      <c r="D71" s="1">
        <f>D65/D77</f>
        <v>10.480197195989515</v>
      </c>
      <c r="E71" s="1"/>
      <c r="F71" s="1" t="s">
        <v>72</v>
      </c>
      <c r="G71" s="1">
        <v>0.0331</v>
      </c>
    </row>
    <row r="72" spans="1:7" ht="12.75">
      <c r="A72" s="1" t="s">
        <v>16</v>
      </c>
      <c r="B72" s="1" t="s">
        <v>18</v>
      </c>
      <c r="C72" s="8" t="s">
        <v>81</v>
      </c>
      <c r="D72" s="1">
        <f>SUM(G71:G73)</f>
        <v>0.27859999999999996</v>
      </c>
      <c r="E72" s="1"/>
      <c r="F72" s="1" t="s">
        <v>73</v>
      </c>
      <c r="G72" s="1">
        <v>0.098</v>
      </c>
    </row>
    <row r="73" spans="1:9" ht="12.75">
      <c r="A73" s="1"/>
      <c r="B73" s="1" t="s">
        <v>19</v>
      </c>
      <c r="C73" s="8" t="s">
        <v>82</v>
      </c>
      <c r="D73" s="1">
        <f>G64+G67+G69+G70+G73</f>
        <v>0.6224</v>
      </c>
      <c r="E73" s="1"/>
      <c r="F73" s="1" t="s">
        <v>74</v>
      </c>
      <c r="G73" s="1">
        <v>0.1475</v>
      </c>
      <c r="I73" s="2"/>
    </row>
    <row r="74" spans="1:7" ht="12.75">
      <c r="A74" s="1"/>
      <c r="B74" s="1" t="s">
        <v>20</v>
      </c>
      <c r="C74" s="7" t="s">
        <v>67</v>
      </c>
      <c r="D74" s="1">
        <f>G56*D72+G57*D73</f>
        <v>0.5192599999999999</v>
      </c>
      <c r="E74" s="1"/>
      <c r="F74" s="1"/>
      <c r="G74" s="1"/>
    </row>
    <row r="75" spans="1:7" ht="12.75">
      <c r="A75" s="1" t="s">
        <v>17</v>
      </c>
      <c r="B75" s="1" t="s">
        <v>18</v>
      </c>
      <c r="C75" s="4" t="s">
        <v>51</v>
      </c>
      <c r="D75" s="1">
        <f>G54*G56*(1-D72)</f>
        <v>0.173136</v>
      </c>
      <c r="E75" s="1"/>
      <c r="F75" s="1"/>
      <c r="G75" s="1"/>
    </row>
    <row r="76" spans="1:7" ht="12.75">
      <c r="A76" s="1"/>
      <c r="B76" s="1" t="s">
        <v>19</v>
      </c>
      <c r="C76" s="4" t="s">
        <v>52</v>
      </c>
      <c r="D76" s="1">
        <f>G54*G57*(1-D73)</f>
        <v>0.211456</v>
      </c>
      <c r="E76" s="1"/>
      <c r="F76" s="1"/>
      <c r="G76" s="1"/>
    </row>
    <row r="77" spans="1:7" ht="12.75">
      <c r="A77" s="1"/>
      <c r="B77" s="1" t="s">
        <v>20</v>
      </c>
      <c r="C77" s="4" t="s">
        <v>71</v>
      </c>
      <c r="D77" s="1">
        <f>SUM(D75:D76)</f>
        <v>0.38459200000000004</v>
      </c>
      <c r="E77" s="1"/>
      <c r="F77" s="1"/>
      <c r="G77" s="1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10" sqref="D10"/>
    </sheetView>
  </sheetViews>
  <sheetFormatPr defaultColWidth="9.00390625" defaultRowHeight="12.75"/>
  <sheetData>
    <row r="1" spans="1:6" ht="12.75">
      <c r="A1">
        <v>0.0085</v>
      </c>
      <c r="C1">
        <f>B20*D20*B22</f>
        <v>0.30000000000000004</v>
      </c>
      <c r="E1" t="s">
        <v>130</v>
      </c>
      <c r="F1">
        <f>A11+A12+A13+A14+A15+A16</f>
        <v>0.16009999999999996</v>
      </c>
    </row>
    <row r="2" spans="1:6" ht="12.75">
      <c r="A2">
        <v>0.0231</v>
      </c>
      <c r="C2">
        <f>B20*D20*B23</f>
        <v>2.7</v>
      </c>
      <c r="E2" t="s">
        <v>131</v>
      </c>
      <c r="F2">
        <f>A4+A10+A16</f>
        <v>0.2338</v>
      </c>
    </row>
    <row r="3" spans="1:6" ht="12.75">
      <c r="A3">
        <v>0.0623</v>
      </c>
      <c r="C3">
        <f>SUM(C1:C2)</f>
        <v>3</v>
      </c>
      <c r="F3">
        <f>F1*B22+F2*B23</f>
        <v>0.22643000000000002</v>
      </c>
    </row>
    <row r="4" ht="12.75">
      <c r="A4">
        <v>0.1682</v>
      </c>
    </row>
    <row r="5" spans="1:6" ht="12.75">
      <c r="A5">
        <v>0.4541</v>
      </c>
      <c r="C5">
        <f>A5+A6+A7+A8+A9+A10+A11+A12+A13+A14+A15+A16</f>
        <v>0.6938000000000001</v>
      </c>
      <c r="E5" t="s">
        <v>132</v>
      </c>
      <c r="F5">
        <f>B20*(1-F1)*B22</f>
        <v>0.05039400000000001</v>
      </c>
    </row>
    <row r="6" spans="1:6" ht="12.75">
      <c r="A6">
        <v>0.0009</v>
      </c>
      <c r="C6">
        <f>A1+A2+A3+A4+A6+A7+A8+A9+A10+A12+A13+A14+A15+A16</f>
        <v>0.36560000000000004</v>
      </c>
      <c r="E6" t="s">
        <v>133</v>
      </c>
      <c r="F6">
        <f>B20*(1-F2)*B23</f>
        <v>0.41374799999999995</v>
      </c>
    </row>
    <row r="7" spans="1:6" ht="12.75">
      <c r="A7">
        <v>0.0026</v>
      </c>
      <c r="C7">
        <f>SUM(C5:C6)/2</f>
        <v>0.5297000000000001</v>
      </c>
      <c r="F7">
        <f>SUM(F5:F6)</f>
        <v>0.46414199999999994</v>
      </c>
    </row>
    <row r="8" ht="12.75">
      <c r="A8">
        <v>0.0069</v>
      </c>
    </row>
    <row r="9" spans="1:6" ht="12.75">
      <c r="A9">
        <v>0.0187</v>
      </c>
      <c r="B9" t="s">
        <v>126</v>
      </c>
      <c r="C9">
        <f>A11+A12+A13+A14+A15+A16</f>
        <v>0.16009999999999996</v>
      </c>
      <c r="E9" t="s">
        <v>134</v>
      </c>
      <c r="F9">
        <f>C9/F5</f>
        <v>3.1769655117672726</v>
      </c>
    </row>
    <row r="10" spans="1:6" ht="12.75">
      <c r="A10">
        <v>0.0505</v>
      </c>
      <c r="B10" t="s">
        <v>127</v>
      </c>
      <c r="C10">
        <f>A1+2*A2+3*A3+4*A4+A7+2*A8+3*A9+4*A10+A13+2*A14+3*A15+4*A16</f>
        <v>1.2711</v>
      </c>
      <c r="E10" t="s">
        <v>135</v>
      </c>
      <c r="F10">
        <f>C10/F6</f>
        <v>3.0721598654253315</v>
      </c>
    </row>
    <row r="11" spans="1:6" ht="12.75">
      <c r="A11">
        <v>0.1362</v>
      </c>
      <c r="C11">
        <f>SUM(C9:C10)</f>
        <v>1.4311999999999998</v>
      </c>
      <c r="F11">
        <f>F5*F9/F5+F6*F10/F6</f>
        <v>6.249125377192604</v>
      </c>
    </row>
    <row r="12" ht="12.75">
      <c r="A12">
        <v>0.0003</v>
      </c>
    </row>
    <row r="13" spans="1:6" ht="12.75">
      <c r="A13">
        <v>0.0008</v>
      </c>
      <c r="B13" t="s">
        <v>128</v>
      </c>
      <c r="C13">
        <f>A5+A6+A7+A8+A9+A10+2*A11+2*A12+2*A13+2*A14+2*A15+2*A16</f>
        <v>0.8539000000000001</v>
      </c>
      <c r="E13" t="s">
        <v>136</v>
      </c>
      <c r="F13">
        <f>C13/F5</f>
        <v>16.944477517164742</v>
      </c>
    </row>
    <row r="14" spans="1:6" ht="12.75">
      <c r="A14">
        <v>0.0021</v>
      </c>
      <c r="B14" t="s">
        <v>129</v>
      </c>
      <c r="C14">
        <f>2*A1+3*A2+4*A3+5*A4+A6+2*A7+3*A8+4*A9+5*A10+A12+2*A13+3*A14+4*A15+5*A16</f>
        <v>1.6366999999999996</v>
      </c>
      <c r="E14" t="s">
        <v>137</v>
      </c>
      <c r="F14">
        <f>C14/F6</f>
        <v>3.9557895143904016</v>
      </c>
    </row>
    <row r="15" spans="1:6" ht="12.75">
      <c r="A15">
        <v>0.0056</v>
      </c>
      <c r="C15">
        <f>SUM(C13:C14)</f>
        <v>2.4905999999999997</v>
      </c>
      <c r="F15">
        <f>C15/F7</f>
        <v>5.366030223509185</v>
      </c>
    </row>
    <row r="16" ht="12.75">
      <c r="A16">
        <v>0.0151</v>
      </c>
    </row>
    <row r="17" ht="12.75">
      <c r="A17">
        <v>0.0409</v>
      </c>
    </row>
    <row r="19" ht="12.75">
      <c r="A19" t="s">
        <v>125</v>
      </c>
    </row>
    <row r="20" spans="1:4" ht="12.75">
      <c r="A20" t="s">
        <v>85</v>
      </c>
      <c r="B20">
        <v>0.6</v>
      </c>
      <c r="C20" t="s">
        <v>86</v>
      </c>
      <c r="D20">
        <v>5</v>
      </c>
    </row>
    <row r="21" spans="1:2" ht="12.75">
      <c r="A21" t="s">
        <v>84</v>
      </c>
      <c r="B21">
        <f>1/D20</f>
        <v>0.2</v>
      </c>
    </row>
    <row r="22" spans="1:2" ht="12.75">
      <c r="A22" t="s">
        <v>26</v>
      </c>
      <c r="B22">
        <v>0.1</v>
      </c>
    </row>
    <row r="23" spans="1:2" ht="12.75">
      <c r="A23" t="s">
        <v>27</v>
      </c>
      <c r="B23">
        <v>0.9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4" sqref="D4"/>
    </sheetView>
  </sheetViews>
  <sheetFormatPr defaultColWidth="9.00390625" defaultRowHeight="12.75"/>
  <cols>
    <col min="4" max="4" width="14.25390625" style="0" customWidth="1"/>
  </cols>
  <sheetData>
    <row r="1" spans="1:4" ht="15.75" thickBot="1">
      <c r="A1" s="22">
        <v>0.0323</v>
      </c>
      <c r="C1" t="s">
        <v>138</v>
      </c>
      <c r="D1">
        <f>B22/B23</f>
        <v>2.9999999999999996</v>
      </c>
    </row>
    <row r="2" spans="1:4" ht="15">
      <c r="A2" s="23">
        <v>0.0968</v>
      </c>
      <c r="C2" t="s">
        <v>125</v>
      </c>
      <c r="D2" s="21">
        <f>A2+A3+A4+A5+A6+A7+A8</f>
        <v>0.968</v>
      </c>
    </row>
    <row r="3" spans="1:4" ht="15.75" thickBot="1">
      <c r="A3" s="23">
        <v>0.1452</v>
      </c>
      <c r="C3" t="s">
        <v>139</v>
      </c>
      <c r="D3">
        <f>A4+2*A5+3*A6+4*A7+5*A8</f>
        <v>2.178</v>
      </c>
    </row>
    <row r="4" spans="1:4" ht="15.75" thickBot="1">
      <c r="A4" s="22">
        <v>0.1452</v>
      </c>
      <c r="C4" t="s">
        <v>140</v>
      </c>
      <c r="D4">
        <f>A2+2*A3+3*A4+4*A5+5*A6+6*A7+7*A8</f>
        <v>4.0172</v>
      </c>
    </row>
    <row r="5" ht="15">
      <c r="A5" s="23">
        <v>0.1452</v>
      </c>
    </row>
    <row r="6" ht="15">
      <c r="A6" s="23">
        <v>0.1452</v>
      </c>
    </row>
    <row r="7" ht="15">
      <c r="A7" s="23">
        <v>0.1452</v>
      </c>
    </row>
    <row r="8" ht="15">
      <c r="A8" s="23">
        <v>0.1452</v>
      </c>
    </row>
    <row r="22" spans="1:4" ht="12.75">
      <c r="A22" t="s">
        <v>85</v>
      </c>
      <c r="B22">
        <v>0.6</v>
      </c>
      <c r="C22" t="s">
        <v>86</v>
      </c>
      <c r="D22">
        <v>5</v>
      </c>
    </row>
    <row r="23" spans="1:2" ht="12.75">
      <c r="A23" t="s">
        <v>84</v>
      </c>
      <c r="B23">
        <f>1/D22</f>
        <v>0.2</v>
      </c>
    </row>
    <row r="24" spans="1:2" ht="12.75">
      <c r="A24" t="s">
        <v>26</v>
      </c>
      <c r="B24">
        <v>0.1</v>
      </c>
    </row>
    <row r="25" spans="1:2" ht="12.75">
      <c r="A25" t="s">
        <v>27</v>
      </c>
      <c r="B25">
        <v>0.9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Lenin</dc:creator>
  <cp:keywords/>
  <dc:description/>
  <cp:lastModifiedBy>Артём Припадчев</cp:lastModifiedBy>
  <cp:lastPrinted>2002-11-09T18:34:21Z</cp:lastPrinted>
  <dcterms:created xsi:type="dcterms:W3CDTF">2002-11-09T08:40:33Z</dcterms:created>
  <dcterms:modified xsi:type="dcterms:W3CDTF">2014-10-09T19:47:57Z</dcterms:modified>
  <cp:category/>
  <cp:version/>
  <cp:contentType/>
  <cp:contentStatus/>
</cp:coreProperties>
</file>