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embeddings/oleObject4.bin" ContentType="application/vnd.openxmlformats-officedocument.oleObject"/>
  <Default Extension="wmf" ContentType="image/x-wmf"/>
  <Override PartName="/xl/embeddings/oleObject10.bin" ContentType="application/vnd.openxmlformats-officedocument.oleObject"/>
  <Override PartName="/xl/embeddings/oleObject30.bin" ContentType="application/vnd.openxmlformats-officedocument.oleObject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115" windowHeight="8505" activeTab="8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график" sheetId="7" r:id="rId7"/>
    <sheet name="2.1" sheetId="8" r:id="rId8"/>
    <sheet name="2,2" sheetId="9" r:id="rId9"/>
  </sheets>
  <calcPr calcId="125725"/>
</workbook>
</file>

<file path=xl/calcChain.xml><?xml version="1.0" encoding="utf-8"?>
<calcChain xmlns="http://schemas.openxmlformats.org/spreadsheetml/2006/main">
  <c r="B15" i="9"/>
  <c r="C3" i="8"/>
  <c r="C4"/>
  <c r="C5"/>
  <c r="C6"/>
  <c r="E60" i="9" l="1"/>
  <c r="H20" i="6"/>
  <c r="G20"/>
  <c r="H57" i="9" l="1"/>
  <c r="G57"/>
  <c r="F57"/>
  <c r="F48"/>
  <c r="F49"/>
  <c r="F50"/>
  <c r="F51"/>
  <c r="F52"/>
  <c r="F53"/>
  <c r="F54"/>
  <c r="F47"/>
  <c r="E57"/>
  <c r="D57"/>
  <c r="E48"/>
  <c r="E49"/>
  <c r="E50"/>
  <c r="E51"/>
  <c r="E52"/>
  <c r="E53"/>
  <c r="E54"/>
  <c r="E47"/>
  <c r="C57"/>
  <c r="D48"/>
  <c r="D49"/>
  <c r="D50"/>
  <c r="D51"/>
  <c r="D52"/>
  <c r="D53"/>
  <c r="D54"/>
  <c r="D47"/>
  <c r="C48"/>
  <c r="C49"/>
  <c r="C50"/>
  <c r="C51"/>
  <c r="C52"/>
  <c r="C53"/>
  <c r="C54"/>
  <c r="C47"/>
  <c r="B57"/>
  <c r="A57"/>
  <c r="B54"/>
  <c r="B53"/>
  <c r="B52"/>
  <c r="B51"/>
  <c r="B50"/>
  <c r="B49"/>
  <c r="B48"/>
  <c r="B47"/>
  <c r="A54"/>
  <c r="A53"/>
  <c r="A52"/>
  <c r="A51"/>
  <c r="A50"/>
  <c r="A49"/>
  <c r="A48"/>
  <c r="A47"/>
  <c r="C9" l="1"/>
  <c r="D9"/>
  <c r="E9"/>
  <c r="F9"/>
  <c r="G9"/>
  <c r="H9"/>
  <c r="I9"/>
  <c r="B9"/>
  <c r="G8" i="6"/>
  <c r="C7" i="8"/>
  <c r="B7"/>
  <c r="D18" i="6"/>
  <c r="D17"/>
  <c r="I14" s="1"/>
  <c r="K14" s="1"/>
  <c r="J14"/>
  <c r="J13"/>
  <c r="I13"/>
  <c r="K13" s="1"/>
  <c r="J12"/>
  <c r="I12"/>
  <c r="K12" s="1"/>
  <c r="I11"/>
  <c r="K11" s="1"/>
  <c r="J10"/>
  <c r="J9"/>
  <c r="I9"/>
  <c r="K9" s="1"/>
  <c r="J8"/>
  <c r="I8"/>
  <c r="K8" s="1"/>
  <c r="I7"/>
  <c r="K7" s="1"/>
  <c r="D18" i="5"/>
  <c r="D18" i="4"/>
  <c r="D18" i="3"/>
  <c r="D18" i="2"/>
  <c r="D18" i="1"/>
  <c r="J7" i="6" l="1"/>
  <c r="D19" s="1"/>
  <c r="I10"/>
  <c r="K10" s="1"/>
  <c r="J11"/>
  <c r="G13"/>
  <c r="H13" s="1"/>
  <c r="G11"/>
  <c r="H11" s="1"/>
  <c r="G9"/>
  <c r="H9" s="1"/>
  <c r="G7"/>
  <c r="H7" s="1"/>
  <c r="E4"/>
  <c r="F2"/>
  <c r="G14" s="1"/>
  <c r="H14" s="1"/>
  <c r="G13" i="5"/>
  <c r="G11"/>
  <c r="G9"/>
  <c r="G7"/>
  <c r="E4"/>
  <c r="G14"/>
  <c r="E4" i="4"/>
  <c r="G13"/>
  <c r="G13" i="3"/>
  <c r="G11"/>
  <c r="G9"/>
  <c r="G7"/>
  <c r="E4"/>
  <c r="G14"/>
  <c r="G13" i="2"/>
  <c r="G11"/>
  <c r="G9"/>
  <c r="G7"/>
  <c r="E4"/>
  <c r="G14"/>
  <c r="G9" i="1"/>
  <c r="D3" i="9" s="1"/>
  <c r="G10" i="1"/>
  <c r="E3" i="9" s="1"/>
  <c r="G11" i="1"/>
  <c r="F3" i="9" s="1"/>
  <c r="G13" i="1"/>
  <c r="H3" i="9" s="1"/>
  <c r="G14" i="1"/>
  <c r="I3" i="9" s="1"/>
  <c r="E4" i="1"/>
  <c r="G7"/>
  <c r="B6" i="8" l="1"/>
  <c r="A7" i="9"/>
  <c r="B5" i="8"/>
  <c r="A6" i="9"/>
  <c r="A5"/>
  <c r="B4" i="8"/>
  <c r="A4" i="9"/>
  <c r="B3" i="8"/>
  <c r="A3" i="9"/>
  <c r="B2" i="8"/>
  <c r="H13" i="5"/>
  <c r="H7" i="9"/>
  <c r="H9" i="5"/>
  <c r="D7" i="9"/>
  <c r="H7" i="5"/>
  <c r="B7" i="9"/>
  <c r="H14" i="5"/>
  <c r="I7" i="9"/>
  <c r="H11" i="5"/>
  <c r="F7" i="9"/>
  <c r="H13" i="4"/>
  <c r="H6" i="9"/>
  <c r="H14" i="3"/>
  <c r="I5" i="9"/>
  <c r="H11" i="3"/>
  <c r="F5" i="9"/>
  <c r="H9" i="3"/>
  <c r="D5" i="9"/>
  <c r="H7" i="3"/>
  <c r="B5" i="9"/>
  <c r="H13" i="3"/>
  <c r="H5" i="9"/>
  <c r="H13" i="2"/>
  <c r="H4" i="9"/>
  <c r="H14" i="2"/>
  <c r="I4" i="9"/>
  <c r="H11" i="2"/>
  <c r="F4" i="9"/>
  <c r="H9" i="2"/>
  <c r="D4" i="9"/>
  <c r="H7" i="2"/>
  <c r="B4" i="9"/>
  <c r="G12" i="1"/>
  <c r="G3" i="9" s="1"/>
  <c r="G8" i="1"/>
  <c r="C3" i="9" s="1"/>
  <c r="H14" i="1"/>
  <c r="H13"/>
  <c r="H12"/>
  <c r="H11"/>
  <c r="H10"/>
  <c r="H9"/>
  <c r="H7"/>
  <c r="B3" i="9"/>
  <c r="D20" i="6"/>
  <c r="H8"/>
  <c r="G10"/>
  <c r="H10" s="1"/>
  <c r="G12"/>
  <c r="H12" s="1"/>
  <c r="G8" i="5"/>
  <c r="G10"/>
  <c r="G12"/>
  <c r="G8" i="4"/>
  <c r="G10"/>
  <c r="G12"/>
  <c r="G14"/>
  <c r="G7"/>
  <c r="G9"/>
  <c r="G11"/>
  <c r="G8" i="3"/>
  <c r="G10"/>
  <c r="G12"/>
  <c r="G8" i="2"/>
  <c r="G10"/>
  <c r="G12"/>
  <c r="E2" i="8" l="1"/>
  <c r="B10"/>
  <c r="B14" i="9"/>
  <c r="C14"/>
  <c r="D14"/>
  <c r="H10" i="5"/>
  <c r="E7" i="9"/>
  <c r="H12" i="5"/>
  <c r="G7" i="9"/>
  <c r="H8" i="5"/>
  <c r="C7" i="9"/>
  <c r="H10" i="4"/>
  <c r="E6" i="9"/>
  <c r="H14" i="4"/>
  <c r="I6" i="9"/>
  <c r="H7" i="4"/>
  <c r="B6" i="9"/>
  <c r="H8" i="4"/>
  <c r="C6" i="9"/>
  <c r="H9" i="4"/>
  <c r="D6" i="9"/>
  <c r="H11" i="4"/>
  <c r="F6" i="9"/>
  <c r="H12" i="4"/>
  <c r="G6" i="9"/>
  <c r="H8" i="3"/>
  <c r="C5" i="9"/>
  <c r="H10" i="3"/>
  <c r="E5" i="9"/>
  <c r="H12" i="3"/>
  <c r="G5" i="9"/>
  <c r="H12" i="2"/>
  <c r="G4" i="9"/>
  <c r="H8" i="2"/>
  <c r="C4" i="9"/>
  <c r="H15"/>
  <c r="H10" i="2"/>
  <c r="E4" i="9"/>
  <c r="H8" i="1"/>
  <c r="D17" s="1"/>
  <c r="J7" s="1"/>
  <c r="L12" i="6"/>
  <c r="D21"/>
  <c r="L8" s="1"/>
  <c r="L13"/>
  <c r="L9"/>
  <c r="L10"/>
  <c r="L11"/>
  <c r="L7"/>
  <c r="J7" i="9" l="1"/>
  <c r="B16"/>
  <c r="J6"/>
  <c r="Q6" s="1"/>
  <c r="J5"/>
  <c r="J4"/>
  <c r="N4" s="1"/>
  <c r="E4" i="8"/>
  <c r="D6"/>
  <c r="E3"/>
  <c r="E7"/>
  <c r="D5"/>
  <c r="E6"/>
  <c r="D4"/>
  <c r="E5"/>
  <c r="D3"/>
  <c r="F3" s="1"/>
  <c r="D7"/>
  <c r="F7" s="1"/>
  <c r="M6" i="9"/>
  <c r="K6"/>
  <c r="N6"/>
  <c r="L6"/>
  <c r="R6"/>
  <c r="J3"/>
  <c r="D2" i="8"/>
  <c r="D15" i="9"/>
  <c r="I15"/>
  <c r="D17" i="2"/>
  <c r="J14" s="1"/>
  <c r="D17" i="5"/>
  <c r="J8" s="1"/>
  <c r="D17" i="4"/>
  <c r="J9" s="1"/>
  <c r="F15" i="9"/>
  <c r="D17" i="3"/>
  <c r="C15" i="9"/>
  <c r="E15"/>
  <c r="G15"/>
  <c r="I7" i="1"/>
  <c r="K7" s="1"/>
  <c r="I8"/>
  <c r="K8" s="1"/>
  <c r="J8"/>
  <c r="J12"/>
  <c r="I10"/>
  <c r="K10" s="1"/>
  <c r="I14"/>
  <c r="K14" s="1"/>
  <c r="J14"/>
  <c r="J11"/>
  <c r="I9"/>
  <c r="K9" s="1"/>
  <c r="J9"/>
  <c r="I11"/>
  <c r="K11" s="1"/>
  <c r="I13"/>
  <c r="K13" s="1"/>
  <c r="J10"/>
  <c r="I12"/>
  <c r="K12" s="1"/>
  <c r="J13"/>
  <c r="D22" i="6"/>
  <c r="L14"/>
  <c r="O6" i="9" l="1"/>
  <c r="P6"/>
  <c r="P4"/>
  <c r="B12" i="8"/>
  <c r="Q3" i="9"/>
  <c r="M3"/>
  <c r="O3"/>
  <c r="R3"/>
  <c r="N3"/>
  <c r="P3"/>
  <c r="L3"/>
  <c r="K3"/>
  <c r="Q5"/>
  <c r="K5"/>
  <c r="R5"/>
  <c r="O5"/>
  <c r="M5"/>
  <c r="Q4"/>
  <c r="O4"/>
  <c r="R4"/>
  <c r="M4"/>
  <c r="K4"/>
  <c r="M7"/>
  <c r="K7"/>
  <c r="R7"/>
  <c r="O7"/>
  <c r="Q7"/>
  <c r="P5"/>
  <c r="L4"/>
  <c r="L7"/>
  <c r="L5"/>
  <c r="N5"/>
  <c r="N7"/>
  <c r="P7"/>
  <c r="I8" i="5"/>
  <c r="K8" s="1"/>
  <c r="J12"/>
  <c r="I12"/>
  <c r="K12" s="1"/>
  <c r="I10" i="4"/>
  <c r="K10" s="1"/>
  <c r="J11"/>
  <c r="J14"/>
  <c r="J8"/>
  <c r="I7"/>
  <c r="K7" s="1"/>
  <c r="I12"/>
  <c r="K12" s="1"/>
  <c r="I8"/>
  <c r="K8" s="1"/>
  <c r="J7"/>
  <c r="I9"/>
  <c r="K9" s="1"/>
  <c r="J10"/>
  <c r="I11"/>
  <c r="K11" s="1"/>
  <c r="J8" i="2"/>
  <c r="I7"/>
  <c r="K7" s="1"/>
  <c r="I14"/>
  <c r="K14" s="1"/>
  <c r="I10"/>
  <c r="K10" s="1"/>
  <c r="I8"/>
  <c r="K8" s="1"/>
  <c r="I11"/>
  <c r="K11" s="1"/>
  <c r="J13"/>
  <c r="J10"/>
  <c r="I12"/>
  <c r="K12" s="1"/>
  <c r="J11"/>
  <c r="J7"/>
  <c r="I9"/>
  <c r="K9" s="1"/>
  <c r="J12"/>
  <c r="J9"/>
  <c r="I13"/>
  <c r="K13" s="1"/>
  <c r="I11" i="5"/>
  <c r="K11" s="1"/>
  <c r="J14"/>
  <c r="I9"/>
  <c r="K9" s="1"/>
  <c r="J9"/>
  <c r="J11"/>
  <c r="I14"/>
  <c r="K14" s="1"/>
  <c r="J7"/>
  <c r="I13"/>
  <c r="K13" s="1"/>
  <c r="J13"/>
  <c r="I7"/>
  <c r="K7" s="1"/>
  <c r="I10"/>
  <c r="K10" s="1"/>
  <c r="J10"/>
  <c r="I14" i="4"/>
  <c r="K14" s="1"/>
  <c r="J13"/>
  <c r="I13"/>
  <c r="K13" s="1"/>
  <c r="J12"/>
  <c r="I11" i="3"/>
  <c r="K11" s="1"/>
  <c r="J13"/>
  <c r="I14"/>
  <c r="K14" s="1"/>
  <c r="J7"/>
  <c r="I9"/>
  <c r="K9" s="1"/>
  <c r="I7"/>
  <c r="K7" s="1"/>
  <c r="J9"/>
  <c r="J11"/>
  <c r="I13"/>
  <c r="K13" s="1"/>
  <c r="J14"/>
  <c r="I8"/>
  <c r="K8" s="1"/>
  <c r="I12"/>
  <c r="K12" s="1"/>
  <c r="J8"/>
  <c r="J12"/>
  <c r="I10"/>
  <c r="K10" s="1"/>
  <c r="J10"/>
  <c r="G20" i="1"/>
  <c r="H20" s="1"/>
  <c r="D19"/>
  <c r="D23" i="6"/>
  <c r="D24"/>
  <c r="D19" i="9" l="1"/>
  <c r="D20" s="1"/>
  <c r="D10" s="1"/>
  <c r="O11"/>
  <c r="H19"/>
  <c r="H20" s="1"/>
  <c r="H10" s="1"/>
  <c r="L11"/>
  <c r="C19"/>
  <c r="C20" s="1"/>
  <c r="C10" s="1"/>
  <c r="E19"/>
  <c r="E20" s="1"/>
  <c r="E10" s="1"/>
  <c r="K11"/>
  <c r="B19"/>
  <c r="B20" s="1"/>
  <c r="B10" s="1"/>
  <c r="P11"/>
  <c r="G19"/>
  <c r="G20" s="1"/>
  <c r="G10" s="1"/>
  <c r="R11"/>
  <c r="I19"/>
  <c r="I20" s="1"/>
  <c r="I10" s="1"/>
  <c r="Q11"/>
  <c r="N11"/>
  <c r="M11"/>
  <c r="F19"/>
  <c r="F20" s="1"/>
  <c r="F10" s="1"/>
  <c r="D19" i="4"/>
  <c r="D20" s="1"/>
  <c r="D21" s="1"/>
  <c r="G20"/>
  <c r="H20" s="1"/>
  <c r="D19" i="2"/>
  <c r="D20" s="1"/>
  <c r="G20"/>
  <c r="H20" s="1"/>
  <c r="G20" i="5"/>
  <c r="H20" s="1"/>
  <c r="D19"/>
  <c r="D19" i="3"/>
  <c r="G20"/>
  <c r="H20" s="1"/>
  <c r="D21" i="2"/>
  <c r="L13" s="1"/>
  <c r="D20" i="1"/>
  <c r="F5" i="8" l="1"/>
  <c r="L10" i="4"/>
  <c r="L9"/>
  <c r="L7"/>
  <c r="L8"/>
  <c r="L12"/>
  <c r="L13"/>
  <c r="L11"/>
  <c r="L14"/>
  <c r="L7" i="2"/>
  <c r="L12"/>
  <c r="L14"/>
  <c r="L9"/>
  <c r="L10"/>
  <c r="L8"/>
  <c r="L11"/>
  <c r="D20" i="5"/>
  <c r="D20" i="3"/>
  <c r="D21" i="1"/>
  <c r="L14" s="1"/>
  <c r="C2" i="8"/>
  <c r="D22" i="4" l="1"/>
  <c r="D23" s="1"/>
  <c r="D22" i="2"/>
  <c r="D24" s="1"/>
  <c r="F6" i="8"/>
  <c r="D21" i="5"/>
  <c r="L13" s="1"/>
  <c r="F4" i="8"/>
  <c r="D21" i="3"/>
  <c r="L13" s="1"/>
  <c r="L12" i="1"/>
  <c r="L11"/>
  <c r="L10"/>
  <c r="L9"/>
  <c r="L13"/>
  <c r="L8"/>
  <c r="F2" i="8"/>
  <c r="L7" i="1"/>
  <c r="L12" i="5" l="1"/>
  <c r="L8"/>
  <c r="L11"/>
  <c r="L14"/>
  <c r="L10"/>
  <c r="D24" i="4"/>
  <c r="L7" i="3"/>
  <c r="L14"/>
  <c r="B13" i="8"/>
  <c r="L11" i="3"/>
  <c r="D23" i="2"/>
  <c r="B11" i="8"/>
  <c r="L9" i="5"/>
  <c r="L7"/>
  <c r="L12" i="3"/>
  <c r="L10"/>
  <c r="L9"/>
  <c r="L8"/>
  <c r="D22" i="1"/>
  <c r="D23" s="1"/>
  <c r="B14" i="8" l="1"/>
  <c r="G2" s="1"/>
  <c r="D22" i="5"/>
  <c r="D22" i="3"/>
  <c r="D24" i="1"/>
  <c r="G4" i="8" l="1"/>
  <c r="G6"/>
  <c r="G5"/>
  <c r="G7"/>
  <c r="D12"/>
  <c r="G3"/>
  <c r="D23" i="5"/>
  <c r="D24"/>
  <c r="D23" i="3"/>
  <c r="D24"/>
  <c r="B15" i="8" l="1"/>
  <c r="B16" s="1"/>
  <c r="B17" l="1"/>
  <c r="E12" s="1"/>
</calcChain>
</file>

<file path=xl/sharedStrings.xml><?xml version="1.0" encoding="utf-8"?>
<sst xmlns="http://schemas.openxmlformats.org/spreadsheetml/2006/main" count="214" uniqueCount="46">
  <si>
    <t>№ п.п.</t>
  </si>
  <si>
    <t>, мл</t>
  </si>
  <si>
    <t>t</t>
  </si>
  <si>
    <t>t2</t>
  </si>
  <si>
    <t>t1</t>
  </si>
  <si>
    <t>p</t>
  </si>
  <si>
    <t>po</t>
  </si>
  <si>
    <t>g</t>
  </si>
  <si>
    <t>p0</t>
  </si>
  <si>
    <r>
      <t xml:space="preserve">       , кПа</t>
    </r>
    <r>
      <rPr>
        <vertAlign val="superscript"/>
        <sz val="12"/>
        <color theme="1"/>
        <rFont val="Times New Roman"/>
        <family val="1"/>
        <charset val="204"/>
      </rPr>
      <t>–1</t>
    </r>
  </si>
  <si>
    <t xml:space="preserve">       , кПа</t>
  </si>
  <si>
    <t xml:space="preserve">    , кПа</t>
  </si>
  <si>
    <t>X-</t>
  </si>
  <si>
    <t>Y-</t>
  </si>
  <si>
    <t>D</t>
  </si>
  <si>
    <t>A</t>
  </si>
  <si>
    <t>C</t>
  </si>
  <si>
    <t>D^2</t>
  </si>
  <si>
    <t>E</t>
  </si>
  <si>
    <t>(Y-AX-C)</t>
  </si>
  <si>
    <t>dA</t>
  </si>
  <si>
    <t>dC</t>
  </si>
  <si>
    <t>K, ДЖ</t>
  </si>
  <si>
    <t>t, С</t>
  </si>
  <si>
    <t>dt</t>
  </si>
  <si>
    <t>(Y-AX-C)^2</t>
  </si>
  <si>
    <t>,  С</t>
  </si>
  <si>
    <t xml:space="preserve">              , кПа</t>
  </si>
  <si>
    <r>
      <t xml:space="preserve">        , мл</t>
    </r>
    <r>
      <rPr>
        <vertAlign val="superscript"/>
        <sz val="12"/>
        <color theme="1"/>
        <rFont val="Times New Roman"/>
        <family val="1"/>
        <charset val="204"/>
      </rPr>
      <t>–1</t>
    </r>
  </si>
  <si>
    <t>X_</t>
  </si>
  <si>
    <t>Y_</t>
  </si>
  <si>
    <t>dX</t>
  </si>
  <si>
    <t>X-X_</t>
  </si>
  <si>
    <t>X-X_)*Y</t>
  </si>
  <si>
    <t>a</t>
  </si>
  <si>
    <t>c</t>
  </si>
  <si>
    <t>x</t>
  </si>
  <si>
    <t>y</t>
  </si>
  <si>
    <t>x-x-</t>
  </si>
  <si>
    <t>x-</t>
  </si>
  <si>
    <t>y-</t>
  </si>
  <si>
    <t>x-x-^2</t>
  </si>
  <si>
    <t>Y-AX-C)^2</t>
  </si>
  <si>
    <t>погрешность случайная:</t>
  </si>
  <si>
    <t>погрешность</t>
  </si>
  <si>
    <t xml:space="preserve">   , мл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</si>
</sst>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#,##0.00000000"/>
    <numFmt numFmtId="165" formatCode="0.00000000"/>
    <numFmt numFmtId="166" formatCode="#,##0.0"/>
    <numFmt numFmtId="167" formatCode="#,##0.00000"/>
    <numFmt numFmtId="168" formatCode="#,##0.000000000000_ ;\-#,##0.000000000000\ "/>
    <numFmt numFmtId="169" formatCode="0.000000"/>
    <numFmt numFmtId="170" formatCode="0.0000"/>
    <numFmt numFmtId="171" formatCode="#,##0.000000000000"/>
    <numFmt numFmtId="172" formatCode="0.000"/>
    <numFmt numFmtId="173" formatCode="0.000000000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2" fontId="0" fillId="0" borderId="0" xfId="0" applyNumberFormat="1"/>
    <xf numFmtId="43" fontId="0" fillId="0" borderId="0" xfId="1" applyFont="1"/>
    <xf numFmtId="0" fontId="2" fillId="0" borderId="1" xfId="0" applyFont="1" applyBorder="1" applyAlignment="1">
      <alignment horizontal="justify" vertical="center" wrapText="1"/>
    </xf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1" applyNumberFormat="1" applyFont="1"/>
    <xf numFmtId="43" fontId="0" fillId="0" borderId="0" xfId="0" applyNumberFormat="1"/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3" fontId="2" fillId="0" borderId="1" xfId="0" applyNumberFormat="1" applyFont="1" applyBorder="1" applyAlignment="1">
      <alignment horizontal="justify" vertical="center" wrapText="1"/>
    </xf>
    <xf numFmtId="169" fontId="0" fillId="0" borderId="0" xfId="1" applyNumberFormat="1" applyFont="1"/>
    <xf numFmtId="170" fontId="0" fillId="0" borderId="0" xfId="0" applyNumberFormat="1"/>
    <xf numFmtId="2" fontId="2" fillId="0" borderId="2" xfId="0" applyNumberFormat="1" applyFont="1" applyBorder="1" applyAlignment="1">
      <alignment horizontal="justify" vertical="center" wrapText="1"/>
    </xf>
    <xf numFmtId="170" fontId="2" fillId="0" borderId="2" xfId="0" applyNumberFormat="1" applyFont="1" applyBorder="1" applyAlignment="1">
      <alignment horizontal="justify" vertical="center" wrapText="1"/>
    </xf>
    <xf numFmtId="171" fontId="0" fillId="0" borderId="0" xfId="0" applyNumberFormat="1"/>
    <xf numFmtId="172" fontId="0" fillId="0" borderId="0" xfId="0" applyNumberFormat="1"/>
    <xf numFmtId="172" fontId="2" fillId="0" borderId="2" xfId="0" applyNumberFormat="1" applyFont="1" applyBorder="1" applyAlignment="1">
      <alignment horizontal="justify" vertical="center" wrapText="1"/>
    </xf>
    <xf numFmtId="173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3" xfId="0" applyNumberFormat="1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172" fontId="2" fillId="0" borderId="3" xfId="0" applyNumberFormat="1" applyFont="1" applyBorder="1" applyAlignment="1">
      <alignment horizontal="justify" vertical="center" wrapText="1"/>
    </xf>
    <xf numFmtId="172" fontId="2" fillId="0" borderId="1" xfId="0" applyNumberFormat="1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lineMarker"/>
        <c:ser>
          <c:idx val="0"/>
          <c:order val="0"/>
          <c:tx>
            <c:v>t = 10.95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'1.1'!$H$7:$H$14</c:f>
              <c:numCache>
                <c:formatCode>0.0000</c:formatCode>
                <c:ptCount val="8"/>
                <c:pt idx="0">
                  <c:v>1.0427528675703858E-2</c:v>
                </c:pt>
                <c:pt idx="1">
                  <c:v>1.06951871657754E-2</c:v>
                </c:pt>
                <c:pt idx="2">
                  <c:v>1.2307692307692308E-2</c:v>
                </c:pt>
                <c:pt idx="3">
                  <c:v>1.3908205841446452E-2</c:v>
                </c:pt>
                <c:pt idx="4">
                  <c:v>1.5467904098994584E-2</c:v>
                </c:pt>
                <c:pt idx="5">
                  <c:v>1.6891891891891889E-2</c:v>
                </c:pt>
                <c:pt idx="6">
                  <c:v>1.8484288354898334E-2</c:v>
                </c:pt>
                <c:pt idx="7">
                  <c:v>1.9999999999999997E-2</c:v>
                </c:pt>
              </c:numCache>
            </c:numRef>
          </c:xVal>
          <c:yVal>
            <c:numRef>
              <c:f>'1.1'!$D$7:$D$14</c:f>
              <c:numCache>
                <c:formatCode>General</c:formatCode>
                <c:ptCount val="8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yVal>
        </c:ser>
        <c:ser>
          <c:idx val="1"/>
          <c:order val="1"/>
          <c:tx>
            <c:v>t = 25.55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'1.2'!$H$7:$H$14</c:f>
              <c:numCache>
                <c:formatCode>0.0000</c:formatCode>
                <c:ptCount val="8"/>
                <c:pt idx="0">
                  <c:v>9.9304865938430985E-3</c:v>
                </c:pt>
                <c:pt idx="1">
                  <c:v>1.0131712259371834E-2</c:v>
                </c:pt>
                <c:pt idx="2">
                  <c:v>1.1641443538998835E-2</c:v>
                </c:pt>
                <c:pt idx="3">
                  <c:v>1.3106159895150718E-2</c:v>
                </c:pt>
                <c:pt idx="4">
                  <c:v>1.4545454545454545E-2</c:v>
                </c:pt>
                <c:pt idx="5">
                  <c:v>1.5649452269170576E-2</c:v>
                </c:pt>
                <c:pt idx="6">
                  <c:v>1.7376194613379668E-2</c:v>
                </c:pt>
                <c:pt idx="7">
                  <c:v>1.8761726078799248E-2</c:v>
                </c:pt>
              </c:numCache>
            </c:numRef>
          </c:xVal>
          <c:yVal>
            <c:numRef>
              <c:f>'1.2'!$D$7:$D$14</c:f>
              <c:numCache>
                <c:formatCode>General</c:formatCode>
                <c:ptCount val="8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yVal>
        </c:ser>
        <c:ser>
          <c:idx val="2"/>
          <c:order val="2"/>
          <c:tx>
            <c:v>t = 37.20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'1.3'!$H$7:$H$14</c:f>
              <c:numCache>
                <c:formatCode>0.0000</c:formatCode>
                <c:ptCount val="8"/>
                <c:pt idx="0">
                  <c:v>8.4602368866328256E-3</c:v>
                </c:pt>
                <c:pt idx="1">
                  <c:v>9.7560975609756097E-3</c:v>
                </c:pt>
                <c:pt idx="2">
                  <c:v>1.1092623405435384E-2</c:v>
                </c:pt>
                <c:pt idx="3">
                  <c:v>1.2547051442910916E-2</c:v>
                </c:pt>
                <c:pt idx="4">
                  <c:v>1.3850415512465374E-2</c:v>
                </c:pt>
                <c:pt idx="5">
                  <c:v>1.5255530129672004E-2</c:v>
                </c:pt>
                <c:pt idx="6">
                  <c:v>1.7211703958691909E-2</c:v>
                </c:pt>
                <c:pt idx="7">
                  <c:v>1.824817518248175E-2</c:v>
                </c:pt>
              </c:numCache>
            </c:numRef>
          </c:xVal>
          <c:yVal>
            <c:numRef>
              <c:f>'1.3'!$D$7:$D$14</c:f>
              <c:numCache>
                <c:formatCode>General</c:formatCode>
                <c:ptCount val="8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yVal>
        </c:ser>
        <c:ser>
          <c:idx val="3"/>
          <c:order val="3"/>
          <c:tx>
            <c:v>t = 48.00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'1.4'!$H$7:$H$14</c:f>
              <c:numCache>
                <c:formatCode>0.0000</c:formatCode>
                <c:ptCount val="8"/>
                <c:pt idx="0">
                  <c:v>7.9744816586921844E-3</c:v>
                </c:pt>
                <c:pt idx="1">
                  <c:v>9.2764378478664179E-3</c:v>
                </c:pt>
                <c:pt idx="2">
                  <c:v>1.059322033898305E-2</c:v>
                </c:pt>
                <c:pt idx="3">
                  <c:v>1.1876484560570071E-2</c:v>
                </c:pt>
                <c:pt idx="4">
                  <c:v>1.3131976362442547E-2</c:v>
                </c:pt>
                <c:pt idx="5">
                  <c:v>1.45032632342277E-2</c:v>
                </c:pt>
                <c:pt idx="6">
                  <c:v>1.5723270440251569E-2</c:v>
                </c:pt>
                <c:pt idx="7">
                  <c:v>1.7094017094017092E-2</c:v>
                </c:pt>
              </c:numCache>
            </c:numRef>
          </c:xVal>
          <c:yVal>
            <c:numRef>
              <c:f>'1.4'!$D$7:$D$14</c:f>
              <c:numCache>
                <c:formatCode>General</c:formatCode>
                <c:ptCount val="8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yVal>
        </c:ser>
        <c:ser>
          <c:idx val="4"/>
          <c:order val="4"/>
          <c:tx>
            <c:v>t = 59.65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'1.5'!$H$7:$H$14</c:f>
              <c:numCache>
                <c:formatCode>0.0000</c:formatCode>
                <c:ptCount val="8"/>
                <c:pt idx="0">
                  <c:v>7.5471698113207548E-3</c:v>
                </c:pt>
                <c:pt idx="1">
                  <c:v>8.7527352297592995E-3</c:v>
                </c:pt>
                <c:pt idx="2">
                  <c:v>9.99000999000999E-3</c:v>
                </c:pt>
                <c:pt idx="3">
                  <c:v>1.1254924029262802E-2</c:v>
                </c:pt>
                <c:pt idx="4">
                  <c:v>1.2437810945273631E-2</c:v>
                </c:pt>
                <c:pt idx="5">
                  <c:v>1.3736263736263734E-2</c:v>
                </c:pt>
                <c:pt idx="6">
                  <c:v>9.7751710654936444E-3</c:v>
                </c:pt>
                <c:pt idx="7">
                  <c:v>1.5873015873015872E-2</c:v>
                </c:pt>
              </c:numCache>
            </c:numRef>
          </c:xVal>
          <c:yVal>
            <c:numRef>
              <c:f>'1.5'!$D$7:$D$14</c:f>
              <c:numCache>
                <c:formatCode>General</c:formatCode>
                <c:ptCount val="8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yVal>
        </c:ser>
        <c:ser>
          <c:idx val="5"/>
          <c:order val="5"/>
          <c:tx>
            <c:v>t = 66.60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'1.6'!$H$7:$H$14</c:f>
              <c:numCache>
                <c:formatCode>0.0000</c:formatCode>
                <c:ptCount val="8"/>
                <c:pt idx="0">
                  <c:v>5.1565052036526516E-3</c:v>
                </c:pt>
                <c:pt idx="1">
                  <c:v>5.9708694806833518E-3</c:v>
                </c:pt>
                <c:pt idx="2">
                  <c:v>6.8385515831573549E-3</c:v>
                </c:pt>
                <c:pt idx="3">
                  <c:v>7.6964640451638935E-3</c:v>
                </c:pt>
                <c:pt idx="4">
                  <c:v>8.5012474531158434E-3</c:v>
                </c:pt>
                <c:pt idx="5">
                  <c:v>9.5075294126662647E-3</c:v>
                </c:pt>
                <c:pt idx="6">
                  <c:v>1.0263800659229895E-2</c:v>
                </c:pt>
                <c:pt idx="7">
                  <c:v>1.1144570135790403E-2</c:v>
                </c:pt>
              </c:numCache>
            </c:numRef>
          </c:xVal>
          <c:yVal>
            <c:numRef>
              <c:f>'1.6'!$D$7:$D$14</c:f>
              <c:numCache>
                <c:formatCode>General</c:formatCode>
                <c:ptCount val="8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yVal>
        </c:ser>
        <c:dLbls/>
        <c:axId val="98578816"/>
        <c:axId val="98580736"/>
      </c:scatterChart>
      <c:valAx>
        <c:axId val="98578816"/>
        <c:scaling>
          <c:orientation val="minMax"/>
          <c:max val="1.3500000000000005E-2"/>
          <c:min val="5.0000000000000018E-3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1/p, </a:t>
                </a:r>
                <a:r>
                  <a:rPr lang="ru-RU"/>
                  <a:t>кПа</a:t>
                </a:r>
              </a:p>
            </c:rich>
          </c:tx>
          <c:layout/>
        </c:title>
        <c:numFmt formatCode="0.0000" sourceLinked="1"/>
        <c:tickLblPos val="nextTo"/>
        <c:crossAx val="98580736"/>
        <c:crosses val="autoZero"/>
        <c:crossBetween val="midCat"/>
        <c:minorUnit val="1.0000000000000005E-4"/>
      </c:valAx>
      <c:valAx>
        <c:axId val="98580736"/>
        <c:scaling>
          <c:orientation val="minMax"/>
          <c:max val="125"/>
          <c:min val="47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V, </a:t>
                </a:r>
                <a:r>
                  <a:rPr lang="ru-RU" sz="1050"/>
                  <a:t>мл</a:t>
                </a:r>
              </a:p>
            </c:rich>
          </c:tx>
          <c:layout/>
        </c:title>
        <c:numFmt formatCode="General" sourceLinked="1"/>
        <c:tickLblPos val="nextTo"/>
        <c:crossAx val="98578816"/>
        <c:crosses val="autoZero"/>
        <c:crossBetween val="midCat"/>
        <c:majorUnit val="10"/>
        <c:minorUnit val="1"/>
      </c:valAx>
    </c:plotArea>
    <c:legend>
      <c:legendPos val="r"/>
      <c:layout>
        <c:manualLayout>
          <c:xMode val="edge"/>
          <c:yMode val="edge"/>
          <c:x val="0.80835424282209067"/>
          <c:y val="5.9592849153752771E-2"/>
          <c:w val="0.18570456165395682"/>
          <c:h val="0.86026219479719079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2516238181070741"/>
          <c:y val="4.1465993221435571E-2"/>
          <c:w val="0.74853745691427132"/>
          <c:h val="0.785773248932118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'2.1'!$B$2:$B$7</c:f>
              <c:numCache>
                <c:formatCode>_-* #,##0.00_р_._-;\-* #,##0.00_р_._-;_-* "-"??_р_._-;_-@_-</c:formatCode>
                <c:ptCount val="6"/>
                <c:pt idx="0">
                  <c:v>5.4499999999999993</c:v>
                </c:pt>
                <c:pt idx="1">
                  <c:v>22.4</c:v>
                </c:pt>
                <c:pt idx="2">
                  <c:v>34.549999999999997</c:v>
                </c:pt>
                <c:pt idx="3">
                  <c:v>48</c:v>
                </c:pt>
                <c:pt idx="4">
                  <c:v>66.45</c:v>
                </c:pt>
                <c:pt idx="5">
                  <c:v>66.599999999999994</c:v>
                </c:pt>
              </c:numCache>
            </c:numRef>
          </c:xVal>
          <c:yVal>
            <c:numRef>
              <c:f>'2.1'!$C$2:$C$7</c:f>
              <c:numCache>
                <c:formatCode>0</c:formatCode>
                <c:ptCount val="6"/>
                <c:pt idx="0">
                  <c:v>6858.492200216464</c:v>
                </c:pt>
                <c:pt idx="1">
                  <c:v>7445.005078419953</c:v>
                </c:pt>
                <c:pt idx="2">
                  <c:v>7006.8486872786707</c:v>
                </c:pt>
                <c:pt idx="3">
                  <c:v>7701.7950216993886</c:v>
                </c:pt>
                <c:pt idx="4">
                  <c:v>7203.3550276649066</c:v>
                </c:pt>
                <c:pt idx="5">
                  <c:v>11630.774120223898</c:v>
                </c:pt>
              </c:numCache>
            </c:numRef>
          </c:yVal>
        </c:ser>
        <c:dLbls/>
        <c:axId val="98712576"/>
        <c:axId val="98731136"/>
      </c:scatterChart>
      <c:valAx>
        <c:axId val="98712576"/>
        <c:scaling>
          <c:orientation val="minMax"/>
        </c:scaling>
        <c:axPos val="b"/>
        <c:majorGridlines/>
        <c:minorGridlines/>
        <c:title>
          <c:layout/>
        </c:title>
        <c:numFmt formatCode="_-* #,##0.00_р_._-;\-* #,##0.00_р_._-;_-* &quot;-&quot;??_р_._-;_-@_-" sourceLinked="1"/>
        <c:tickLblPos val="nextTo"/>
        <c:crossAx val="98731136"/>
        <c:crosses val="autoZero"/>
        <c:crossBetween val="midCat"/>
      </c:valAx>
      <c:valAx>
        <c:axId val="98731136"/>
        <c:scaling>
          <c:orientation val="minMax"/>
        </c:scaling>
        <c:axPos val="l"/>
        <c:majorGridlines/>
        <c:minorGridlines/>
        <c:title>
          <c:layout/>
        </c:title>
        <c:numFmt formatCode="0" sourceLinked="1"/>
        <c:tickLblPos val="nextTo"/>
        <c:crossAx val="98712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162650602409644"/>
          <c:y val="0.23078262276039024"/>
          <c:w val="9.2349397590361426E-2"/>
          <c:h val="0.53096480586985451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2224404156884235"/>
          <c:y val="2.9268679544553339E-2"/>
          <c:w val="0.68216208673745005"/>
          <c:h val="0.72489586283728935"/>
        </c:manualLayout>
      </c:layout>
      <c:scatterChart>
        <c:scatterStyle val="lineMarker"/>
        <c:ser>
          <c:idx val="0"/>
          <c:order val="0"/>
          <c:tx>
            <c:v>p = 50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'2,2'!$A$3:$A$8</c:f>
              <c:numCache>
                <c:formatCode>_-* #,##0.00_р_._-;\-* #,##0.00_р_._-;_-* "-"??_р_._-;_-@_-</c:formatCode>
                <c:ptCount val="6"/>
                <c:pt idx="0">
                  <c:v>5.4499999999999993</c:v>
                </c:pt>
                <c:pt idx="1">
                  <c:v>22.4</c:v>
                </c:pt>
                <c:pt idx="2">
                  <c:v>34.549999999999997</c:v>
                </c:pt>
                <c:pt idx="3">
                  <c:v>48</c:v>
                </c:pt>
                <c:pt idx="4">
                  <c:v>66.45</c:v>
                </c:pt>
              </c:numCache>
            </c:numRef>
          </c:xVal>
          <c:yVal>
            <c:numRef>
              <c:f>'2,2'!$B$3:$B$8</c:f>
              <c:numCache>
                <c:formatCode>0.00</c:formatCode>
                <c:ptCount val="6"/>
                <c:pt idx="0">
                  <c:v>95.9</c:v>
                </c:pt>
                <c:pt idx="1">
                  <c:v>100.7</c:v>
                </c:pt>
                <c:pt idx="2">
                  <c:v>118.2</c:v>
                </c:pt>
                <c:pt idx="3">
                  <c:v>125.4</c:v>
                </c:pt>
                <c:pt idx="4">
                  <c:v>132.5</c:v>
                </c:pt>
              </c:numCache>
            </c:numRef>
          </c:yVal>
        </c:ser>
        <c:ser>
          <c:idx val="1"/>
          <c:order val="1"/>
          <c:tx>
            <c:v>p = 90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'2,2'!$A$3:$A$8</c:f>
              <c:numCache>
                <c:formatCode>_-* #,##0.00_р_._-;\-* #,##0.00_р_._-;_-* "-"??_р_._-;_-@_-</c:formatCode>
                <c:ptCount val="6"/>
                <c:pt idx="0">
                  <c:v>5.4499999999999993</c:v>
                </c:pt>
                <c:pt idx="1">
                  <c:v>22.4</c:v>
                </c:pt>
                <c:pt idx="2">
                  <c:v>34.549999999999997</c:v>
                </c:pt>
                <c:pt idx="3">
                  <c:v>48</c:v>
                </c:pt>
                <c:pt idx="4">
                  <c:v>66.45</c:v>
                </c:pt>
              </c:numCache>
            </c:numRef>
          </c:xVal>
          <c:yVal>
            <c:numRef>
              <c:f>'2,2'!$F$3:$F$8</c:f>
              <c:numCache>
                <c:formatCode>0.00</c:formatCode>
                <c:ptCount val="6"/>
                <c:pt idx="0">
                  <c:v>64.650000000000006</c:v>
                </c:pt>
                <c:pt idx="1">
                  <c:v>68.75</c:v>
                </c:pt>
                <c:pt idx="2">
                  <c:v>72.2</c:v>
                </c:pt>
                <c:pt idx="3">
                  <c:v>76.150000000000006</c:v>
                </c:pt>
                <c:pt idx="4">
                  <c:v>80.400000000000006</c:v>
                </c:pt>
              </c:numCache>
            </c:numRef>
          </c:yVal>
        </c:ser>
        <c:ser>
          <c:idx val="2"/>
          <c:order val="2"/>
          <c:tx>
            <c:v>p = 120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'2,2'!$A$3:$A$8</c:f>
              <c:numCache>
                <c:formatCode>_-* #,##0.00_р_._-;\-* #,##0.00_р_._-;_-* "-"??_р_._-;_-@_-</c:formatCode>
                <c:ptCount val="6"/>
                <c:pt idx="0">
                  <c:v>5.4499999999999993</c:v>
                </c:pt>
                <c:pt idx="1">
                  <c:v>22.4</c:v>
                </c:pt>
                <c:pt idx="2">
                  <c:v>34.549999999999997</c:v>
                </c:pt>
                <c:pt idx="3">
                  <c:v>48</c:v>
                </c:pt>
                <c:pt idx="4">
                  <c:v>66.45</c:v>
                </c:pt>
              </c:numCache>
            </c:numRef>
          </c:xVal>
          <c:yVal>
            <c:numRef>
              <c:f>'2,2'!$I$3:$I$8</c:f>
              <c:numCache>
                <c:formatCode>0.00</c:formatCode>
                <c:ptCount val="6"/>
                <c:pt idx="0">
                  <c:v>50.000000000000007</c:v>
                </c:pt>
                <c:pt idx="1">
                  <c:v>53.300000000000004</c:v>
                </c:pt>
                <c:pt idx="2">
                  <c:v>54.800000000000004</c:v>
                </c:pt>
                <c:pt idx="3">
                  <c:v>58.500000000000007</c:v>
                </c:pt>
                <c:pt idx="4">
                  <c:v>63.000000000000007</c:v>
                </c:pt>
              </c:numCache>
            </c:numRef>
          </c:yVal>
        </c:ser>
        <c:dLbls/>
        <c:axId val="72976640"/>
        <c:axId val="72987008"/>
      </c:scatterChart>
      <c:valAx>
        <c:axId val="72976640"/>
        <c:scaling>
          <c:orientation val="minMax"/>
          <c:max val="70"/>
          <c:min val="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t, C</a:t>
                </a:r>
                <a:endParaRPr lang="ru-RU"/>
              </a:p>
            </c:rich>
          </c:tx>
          <c:layout/>
        </c:title>
        <c:numFmt formatCode="_-* #,##0.00_р_._-;\-* #,##0.00_р_._-;_-* &quot;-&quot;??_р_._-;_-@_-" sourceLinked="1"/>
        <c:tickLblPos val="nextTo"/>
        <c:crossAx val="72987008"/>
        <c:crosses val="autoZero"/>
        <c:crossBetween val="midCat"/>
        <c:minorUnit val="1"/>
      </c:valAx>
      <c:valAx>
        <c:axId val="72987008"/>
        <c:scaling>
          <c:orientation val="minMax"/>
          <c:max val="200"/>
          <c:min val="7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p, </a:t>
                </a:r>
                <a:r>
                  <a:rPr lang="ru-RU"/>
                  <a:t>кПа</a:t>
                </a:r>
              </a:p>
            </c:rich>
          </c:tx>
          <c:layout/>
        </c:title>
        <c:numFmt formatCode="0.00" sourceLinked="1"/>
        <c:tickLblPos val="nextTo"/>
        <c:crossAx val="72976640"/>
        <c:crosses val="autoZero"/>
        <c:crossBetween val="midCat"/>
        <c:minorUnit val="1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1586449796253757"/>
          <c:y val="5.1400554097404488E-2"/>
          <c:w val="0.65859531198467114"/>
          <c:h val="0.827279819189268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/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'2,2'!$B$9:$I$9</c:f>
              <c:numCache>
                <c:formatCode>0.000</c:formatCode>
                <c:ptCount val="8"/>
                <c:pt idx="0" formatCode="General">
                  <c:v>0.02</c:v>
                </c:pt>
                <c:pt idx="1">
                  <c:v>1.6666666666666666E-2</c:v>
                </c:pt>
                <c:pt idx="2">
                  <c:v>1.4285714285714285E-2</c:v>
                </c:pt>
                <c:pt idx="3" formatCode="General">
                  <c:v>1.2500000000000001E-2</c:v>
                </c:pt>
                <c:pt idx="4">
                  <c:v>1.1111111111111112E-2</c:v>
                </c:pt>
                <c:pt idx="5" formatCode="General">
                  <c:v>0.01</c:v>
                </c:pt>
                <c:pt idx="6">
                  <c:v>9.0909090909090905E-3</c:v>
                </c:pt>
                <c:pt idx="7">
                  <c:v>8.3333333333333332E-3</c:v>
                </c:pt>
              </c:numCache>
            </c:numRef>
          </c:xVal>
          <c:yVal>
            <c:numRef>
              <c:f>'2,2'!$B$11:$I$11</c:f>
              <c:numCache>
                <c:formatCode>0.0000</c:formatCode>
                <c:ptCount val="8"/>
                <c:pt idx="0">
                  <c:v>-391.24220432736621</c:v>
                </c:pt>
                <c:pt idx="1">
                  <c:v>-356.0599905355545</c:v>
                </c:pt>
                <c:pt idx="2">
                  <c:v>-354.24393107245203</c:v>
                </c:pt>
                <c:pt idx="3">
                  <c:v>-352.17391469507629</c:v>
                </c:pt>
                <c:pt idx="4">
                  <c:v>-337.50496545653772</c:v>
                </c:pt>
                <c:pt idx="5">
                  <c:v>-333.19510880161187</c:v>
                </c:pt>
                <c:pt idx="6">
                  <c:v>-329.76839015087535</c:v>
                </c:pt>
                <c:pt idx="7">
                  <c:v>-327.48425576702442</c:v>
                </c:pt>
              </c:numCache>
            </c:numRef>
          </c:yVal>
        </c:ser>
        <c:dLbls/>
        <c:axId val="72918144"/>
        <c:axId val="72920064"/>
      </c:scatterChart>
      <c:valAx>
        <c:axId val="72918144"/>
        <c:scaling>
          <c:orientation val="minMax"/>
          <c:min val="7.0000000000000027E-3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V,</a:t>
                </a:r>
                <a:r>
                  <a:rPr lang="en-US" baseline="0"/>
                  <a:t> </a:t>
                </a:r>
                <a:r>
                  <a:rPr lang="ru-RU" baseline="0"/>
                  <a:t>мл</a:t>
                </a:r>
              </a:p>
            </c:rich>
          </c:tx>
          <c:layout>
            <c:manualLayout>
              <c:xMode val="edge"/>
              <c:yMode val="edge"/>
              <c:x val="0.43057749088664155"/>
              <c:y val="0.8786803732866727"/>
            </c:manualLayout>
          </c:layout>
        </c:title>
        <c:numFmt formatCode="General" sourceLinked="1"/>
        <c:tickLblPos val="nextTo"/>
        <c:crossAx val="72920064"/>
        <c:crosses val="autoZero"/>
        <c:crossBetween val="midCat"/>
      </c:valAx>
      <c:valAx>
        <c:axId val="72920064"/>
        <c:scaling>
          <c:orientation val="minMax"/>
          <c:max val="-30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t,</a:t>
                </a:r>
                <a:r>
                  <a:rPr lang="en-US" baseline="0"/>
                  <a:t> C</a:t>
                </a:r>
                <a:endParaRPr lang="ru-RU"/>
              </a:p>
            </c:rich>
          </c:tx>
          <c:layout/>
        </c:title>
        <c:numFmt formatCode="0.0000" sourceLinked="1"/>
        <c:tickLblPos val="nextTo"/>
        <c:crossAx val="72918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14972745971367"/>
          <c:y val="0.41628280839895027"/>
          <c:w val="7.1903277062220036E-2"/>
          <c:h val="0.167434383202099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1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7281</xdr:colOff>
      <xdr:row>0</xdr:row>
      <xdr:rowOff>10084</xdr:rowOff>
    </xdr:from>
    <xdr:to>
      <xdr:col>14</xdr:col>
      <xdr:colOff>447674</xdr:colOff>
      <xdr:row>24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2</xdr:row>
      <xdr:rowOff>180974</xdr:rowOff>
    </xdr:from>
    <xdr:to>
      <xdr:col>18</xdr:col>
      <xdr:colOff>104775</xdr:colOff>
      <xdr:row>20</xdr:row>
      <xdr:rowOff>152399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403412</xdr:colOff>
      <xdr:row>13</xdr:row>
      <xdr:rowOff>76761</xdr:rowOff>
    </xdr:from>
    <xdr:to>
      <xdr:col>19</xdr:col>
      <xdr:colOff>662267</xdr:colOff>
      <xdr:row>27</xdr:row>
      <xdr:rowOff>57711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560294</xdr:colOff>
      <xdr:row>28</xdr:row>
      <xdr:rowOff>129989</xdr:rowOff>
    </xdr:from>
    <xdr:to>
      <xdr:col>10</xdr:col>
      <xdr:colOff>123264</xdr:colOff>
      <xdr:row>43</xdr:row>
      <xdr:rowOff>15689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oleObject" Target="../embeddings/oleObject6.bin"/><Relationship Id="rId1" Type="http://schemas.openxmlformats.org/officeDocument/2006/relationships/vmlDrawing" Target="../drawings/vmlDrawing2.vml"/><Relationship Id="rId6" Type="http://schemas.openxmlformats.org/officeDocument/2006/relationships/oleObject" Target="../embeddings/oleObject10.bin"/><Relationship Id="rId5" Type="http://schemas.openxmlformats.org/officeDocument/2006/relationships/oleObject" Target="../embeddings/oleObject9.bin"/><Relationship Id="rId4" Type="http://schemas.openxmlformats.org/officeDocument/2006/relationships/oleObject" Target="../embeddings/oleObject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2.bin"/><Relationship Id="rId2" Type="http://schemas.openxmlformats.org/officeDocument/2006/relationships/oleObject" Target="../embeddings/oleObject11.bin"/><Relationship Id="rId1" Type="http://schemas.openxmlformats.org/officeDocument/2006/relationships/vmlDrawing" Target="../drawings/vmlDrawing3.vml"/><Relationship Id="rId6" Type="http://schemas.openxmlformats.org/officeDocument/2006/relationships/oleObject" Target="../embeddings/oleObject15.bin"/><Relationship Id="rId5" Type="http://schemas.openxmlformats.org/officeDocument/2006/relationships/oleObject" Target="../embeddings/oleObject14.bin"/><Relationship Id="rId4" Type="http://schemas.openxmlformats.org/officeDocument/2006/relationships/oleObject" Target="../embeddings/oleObject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7.bin"/><Relationship Id="rId2" Type="http://schemas.openxmlformats.org/officeDocument/2006/relationships/oleObject" Target="../embeddings/oleObject16.bin"/><Relationship Id="rId1" Type="http://schemas.openxmlformats.org/officeDocument/2006/relationships/vmlDrawing" Target="../drawings/vmlDrawing4.vml"/><Relationship Id="rId6" Type="http://schemas.openxmlformats.org/officeDocument/2006/relationships/oleObject" Target="../embeddings/oleObject20.bin"/><Relationship Id="rId5" Type="http://schemas.openxmlformats.org/officeDocument/2006/relationships/oleObject" Target="../embeddings/oleObject19.bin"/><Relationship Id="rId4" Type="http://schemas.openxmlformats.org/officeDocument/2006/relationships/oleObject" Target="../embeddings/oleObject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2.bin"/><Relationship Id="rId2" Type="http://schemas.openxmlformats.org/officeDocument/2006/relationships/oleObject" Target="../embeddings/oleObject21.bin"/><Relationship Id="rId1" Type="http://schemas.openxmlformats.org/officeDocument/2006/relationships/vmlDrawing" Target="../drawings/vmlDrawing5.vml"/><Relationship Id="rId6" Type="http://schemas.openxmlformats.org/officeDocument/2006/relationships/oleObject" Target="../embeddings/oleObject25.bin"/><Relationship Id="rId5" Type="http://schemas.openxmlformats.org/officeDocument/2006/relationships/oleObject" Target="../embeddings/oleObject24.bin"/><Relationship Id="rId4" Type="http://schemas.openxmlformats.org/officeDocument/2006/relationships/oleObject" Target="../embeddings/oleObject2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7.bin"/><Relationship Id="rId2" Type="http://schemas.openxmlformats.org/officeDocument/2006/relationships/oleObject" Target="../embeddings/oleObject26.bin"/><Relationship Id="rId1" Type="http://schemas.openxmlformats.org/officeDocument/2006/relationships/vmlDrawing" Target="../drawings/vmlDrawing6.vml"/><Relationship Id="rId6" Type="http://schemas.openxmlformats.org/officeDocument/2006/relationships/oleObject" Target="../embeddings/oleObject30.bin"/><Relationship Id="rId5" Type="http://schemas.openxmlformats.org/officeDocument/2006/relationships/oleObject" Target="../embeddings/oleObject29.bin"/><Relationship Id="rId4" Type="http://schemas.openxmlformats.org/officeDocument/2006/relationships/oleObject" Target="../embeddings/oleObject2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5.bin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34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3.bin"/><Relationship Id="rId5" Type="http://schemas.openxmlformats.org/officeDocument/2006/relationships/oleObject" Target="../embeddings/oleObject32.bin"/><Relationship Id="rId4" Type="http://schemas.openxmlformats.org/officeDocument/2006/relationships/oleObject" Target="../embeddings/oleObject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4"/>
  <sheetViews>
    <sheetView zoomScale="90" zoomScaleNormal="90" workbookViewId="0">
      <selection activeCell="C4" sqref="C4"/>
    </sheetView>
  </sheetViews>
  <sheetFormatPr defaultRowHeight="15"/>
  <cols>
    <col min="4" max="4" width="16.85546875" customWidth="1"/>
    <col min="5" max="5" width="12.7109375" customWidth="1"/>
    <col min="6" max="6" width="13.28515625" bestFit="1" customWidth="1"/>
    <col min="7" max="7" width="15" style="3" bestFit="1" customWidth="1"/>
    <col min="8" max="8" width="15.28515625" style="21" customWidth="1"/>
    <col min="9" max="9" width="15.85546875" customWidth="1"/>
    <col min="10" max="10" width="20.140625" customWidth="1"/>
    <col min="12" max="12" width="20.140625" customWidth="1"/>
  </cols>
  <sheetData>
    <row r="1" spans="3:12">
      <c r="C1" t="s">
        <v>8</v>
      </c>
      <c r="D1" t="s">
        <v>6</v>
      </c>
      <c r="E1" t="s">
        <v>7</v>
      </c>
      <c r="F1" t="s">
        <v>5</v>
      </c>
    </row>
    <row r="2" spans="3:12">
      <c r="C2" s="3">
        <v>764.6</v>
      </c>
      <c r="D2" s="3">
        <v>13.55</v>
      </c>
      <c r="E2" s="3">
        <v>9.8190000000000008</v>
      </c>
      <c r="F2" s="4">
        <v>101.9</v>
      </c>
    </row>
    <row r="3" spans="3:12">
      <c r="C3" t="s">
        <v>4</v>
      </c>
      <c r="D3" t="s">
        <v>3</v>
      </c>
      <c r="E3" t="s">
        <v>2</v>
      </c>
    </row>
    <row r="4" spans="3:12" ht="15.75" thickBot="1">
      <c r="C4" s="4">
        <v>5.3</v>
      </c>
      <c r="D4" s="4">
        <v>5.6</v>
      </c>
      <c r="E4" s="4">
        <f>(C4+D4)/2</f>
        <v>5.4499999999999993</v>
      </c>
    </row>
    <row r="5" spans="3:12" ht="15.75" customHeight="1">
      <c r="C5" s="27" t="s">
        <v>0</v>
      </c>
      <c r="D5" s="27" t="s">
        <v>1</v>
      </c>
      <c r="E5" s="27" t="s">
        <v>10</v>
      </c>
      <c r="F5" s="33" t="s">
        <v>11</v>
      </c>
      <c r="G5" s="29" t="s">
        <v>10</v>
      </c>
      <c r="H5" s="31" t="s">
        <v>9</v>
      </c>
      <c r="I5" t="s">
        <v>14</v>
      </c>
      <c r="J5" s="6" t="s">
        <v>17</v>
      </c>
      <c r="K5" t="s">
        <v>15</v>
      </c>
      <c r="L5" t="s">
        <v>19</v>
      </c>
    </row>
    <row r="6" spans="3:12" ht="15.75" thickBot="1">
      <c r="C6" s="28"/>
      <c r="D6" s="28"/>
      <c r="E6" s="28"/>
      <c r="F6" s="34"/>
      <c r="G6" s="30"/>
      <c r="H6" s="32"/>
      <c r="J6" s="8"/>
    </row>
    <row r="7" spans="3:12" ht="16.5" thickBot="1">
      <c r="C7" s="2">
        <v>1</v>
      </c>
      <c r="D7" s="1">
        <v>50</v>
      </c>
      <c r="E7" s="1">
        <v>-6</v>
      </c>
      <c r="F7" s="1">
        <v>-6</v>
      </c>
      <c r="G7" s="18">
        <f>$F$2+(E7+F7)/2</f>
        <v>95.9</v>
      </c>
      <c r="H7" s="19">
        <f>1/G7</f>
        <v>1.0427528675703858E-2</v>
      </c>
      <c r="I7" s="7">
        <f>(H7-$D$17)</f>
        <v>-4.3453086163464955E-3</v>
      </c>
      <c r="J7" s="8">
        <f>(H7-$D$17)^2</f>
        <v>1.8881706971295095E-5</v>
      </c>
      <c r="K7">
        <f>I7*D7</f>
        <v>-0.21726543081732477</v>
      </c>
      <c r="L7" s="11">
        <f>(D7-$D$20*H7-$D$21)^2</f>
        <v>27.016446502813409</v>
      </c>
    </row>
    <row r="8" spans="3:12" ht="16.5" thickBot="1">
      <c r="C8" s="2">
        <v>2</v>
      </c>
      <c r="D8" s="1">
        <v>60</v>
      </c>
      <c r="E8" s="1">
        <v>-8.6</v>
      </c>
      <c r="F8" s="1">
        <v>-8.1999999999999993</v>
      </c>
      <c r="G8" s="18">
        <f t="shared" ref="G8:G14" si="0">$F$2+(E8+F8)/2</f>
        <v>93.5</v>
      </c>
      <c r="H8" s="19">
        <f t="shared" ref="H8:H14" si="1">1/G8</f>
        <v>1.06951871657754E-2</v>
      </c>
      <c r="I8" s="7">
        <f>(H8-$D$17)</f>
        <v>-4.0776501262749527E-3</v>
      </c>
      <c r="J8" s="8">
        <f t="shared" ref="J8:J14" si="2">(H8-$D$17)^2</f>
        <v>1.6627230552310138E-5</v>
      </c>
      <c r="K8">
        <f t="shared" ref="K8:K14" si="3">I8*D8</f>
        <v>-0.24465900757649717</v>
      </c>
      <c r="L8" s="11">
        <f t="shared" ref="L8:L14" si="4">(D8-$D$20*H8-$D$21)^2</f>
        <v>8.8003096523282931</v>
      </c>
    </row>
    <row r="9" spans="3:12" ht="16.5" thickBot="1">
      <c r="C9" s="2">
        <v>3</v>
      </c>
      <c r="D9" s="1">
        <v>70</v>
      </c>
      <c r="E9" s="1">
        <v>-20.8</v>
      </c>
      <c r="F9" s="1">
        <v>-20.5</v>
      </c>
      <c r="G9" s="18">
        <f t="shared" si="0"/>
        <v>81.25</v>
      </c>
      <c r="H9" s="19">
        <f t="shared" si="1"/>
        <v>1.2307692307692308E-2</v>
      </c>
      <c r="I9" s="7">
        <f t="shared" ref="I9:I14" si="5">(H9-$D$17)</f>
        <v>-2.4651449843580454E-3</v>
      </c>
      <c r="J9" s="8">
        <f t="shared" si="2"/>
        <v>6.0769397939056282E-6</v>
      </c>
      <c r="K9">
        <f t="shared" si="3"/>
        <v>-0.17256014890506319</v>
      </c>
      <c r="L9" s="11">
        <f t="shared" si="4"/>
        <v>3.6373265795904741</v>
      </c>
    </row>
    <row r="10" spans="3:12" ht="16.5" thickBot="1">
      <c r="C10" s="2">
        <v>4</v>
      </c>
      <c r="D10" s="1">
        <v>80</v>
      </c>
      <c r="E10" s="1">
        <v>-30.4</v>
      </c>
      <c r="F10" s="1">
        <v>-29.6</v>
      </c>
      <c r="G10" s="18">
        <f t="shared" si="0"/>
        <v>71.900000000000006</v>
      </c>
      <c r="H10" s="19">
        <f t="shared" si="1"/>
        <v>1.3908205841446452E-2</v>
      </c>
      <c r="I10" s="7">
        <f t="shared" si="5"/>
        <v>-8.646314506039008E-4</v>
      </c>
      <c r="J10" s="8">
        <f t="shared" si="2"/>
        <v>7.4758754537340577E-7</v>
      </c>
      <c r="K10">
        <f t="shared" si="3"/>
        <v>-6.9170516048312064E-2</v>
      </c>
      <c r="L10" s="11">
        <f t="shared" si="4"/>
        <v>0.86502659628552747</v>
      </c>
    </row>
    <row r="11" spans="3:12" ht="16.5" thickBot="1">
      <c r="C11" s="2">
        <v>5</v>
      </c>
      <c r="D11" s="1">
        <v>90</v>
      </c>
      <c r="E11" s="1">
        <v>-37.5</v>
      </c>
      <c r="F11" s="1">
        <v>-37</v>
      </c>
      <c r="G11" s="18">
        <f t="shared" si="0"/>
        <v>64.650000000000006</v>
      </c>
      <c r="H11" s="19">
        <f t="shared" si="1"/>
        <v>1.5467904098994584E-2</v>
      </c>
      <c r="I11" s="7">
        <f t="shared" si="5"/>
        <v>6.9506680694423131E-4</v>
      </c>
      <c r="J11" s="8">
        <f t="shared" si="2"/>
        <v>4.8311786611564931E-7</v>
      </c>
      <c r="K11">
        <f t="shared" si="3"/>
        <v>6.2556012624980811E-2</v>
      </c>
      <c r="L11" s="11">
        <f t="shared" si="4"/>
        <v>5.4237624450095258E-2</v>
      </c>
    </row>
    <row r="12" spans="3:12" ht="16.5" thickBot="1">
      <c r="C12" s="2">
        <v>6</v>
      </c>
      <c r="D12" s="1">
        <v>100</v>
      </c>
      <c r="E12" s="1">
        <v>-42.5</v>
      </c>
      <c r="F12" s="1">
        <v>-42.9</v>
      </c>
      <c r="G12" s="18">
        <f t="shared" si="0"/>
        <v>59.2</v>
      </c>
      <c r="H12" s="19">
        <f t="shared" si="1"/>
        <v>1.6891891891891889E-2</v>
      </c>
      <c r="I12" s="7">
        <f t="shared" si="5"/>
        <v>2.1190545998415362E-3</v>
      </c>
      <c r="J12" s="8">
        <f t="shared" si="2"/>
        <v>4.4903923971095735E-6</v>
      </c>
      <c r="K12">
        <f t="shared" si="3"/>
        <v>0.21190545998415361</v>
      </c>
      <c r="L12" s="11">
        <f t="shared" si="4"/>
        <v>0.21760410833677729</v>
      </c>
    </row>
    <row r="13" spans="3:12" ht="16.5" thickBot="1">
      <c r="C13" s="2">
        <v>7</v>
      </c>
      <c r="D13" s="1">
        <v>110</v>
      </c>
      <c r="E13" s="1">
        <v>-47.9</v>
      </c>
      <c r="F13" s="1">
        <v>-47.7</v>
      </c>
      <c r="G13" s="18">
        <f t="shared" si="0"/>
        <v>54.100000000000009</v>
      </c>
      <c r="H13" s="19">
        <f t="shared" si="1"/>
        <v>1.8484288354898334E-2</v>
      </c>
      <c r="I13" s="7">
        <f t="shared" si="5"/>
        <v>3.7114510628479813E-3</v>
      </c>
      <c r="J13" s="8">
        <f t="shared" si="2"/>
        <v>1.377486899191541E-5</v>
      </c>
      <c r="K13">
        <f t="shared" si="3"/>
        <v>0.40825961691327795</v>
      </c>
      <c r="L13" s="11">
        <f t="shared" si="4"/>
        <v>0.20698693283555453</v>
      </c>
    </row>
    <row r="14" spans="3:12" ht="16.5" thickBot="1">
      <c r="C14" s="2">
        <v>8</v>
      </c>
      <c r="D14" s="1">
        <v>120</v>
      </c>
      <c r="E14" s="1">
        <v>-51.9</v>
      </c>
      <c r="F14" s="1">
        <v>-51.9</v>
      </c>
      <c r="G14" s="18">
        <f t="shared" si="0"/>
        <v>50.000000000000007</v>
      </c>
      <c r="H14" s="19">
        <f t="shared" si="1"/>
        <v>1.9999999999999997E-2</v>
      </c>
      <c r="I14" s="7">
        <f t="shared" si="5"/>
        <v>5.2271627079496438E-3</v>
      </c>
      <c r="J14" s="8">
        <f t="shared" si="2"/>
        <v>2.7323229975379454E-5</v>
      </c>
      <c r="K14">
        <f t="shared" si="3"/>
        <v>0.6272595249539572</v>
      </c>
      <c r="L14" s="11">
        <f t="shared" si="4"/>
        <v>0.72327313166681773</v>
      </c>
    </row>
    <row r="17" spans="3:8">
      <c r="C17" t="s">
        <v>12</v>
      </c>
      <c r="D17" s="7">
        <f>SUM(H7:H14)/8</f>
        <v>1.4772837292050353E-2</v>
      </c>
    </row>
    <row r="18" spans="3:8">
      <c r="C18" t="s">
        <v>13</v>
      </c>
      <c r="D18" s="9">
        <f>SUM(D7:D14)/8</f>
        <v>85</v>
      </c>
    </row>
    <row r="19" spans="3:8">
      <c r="C19" t="s">
        <v>14</v>
      </c>
      <c r="D19" s="7">
        <f>SUM(J7:J14)</f>
        <v>8.840507409340435E-5</v>
      </c>
      <c r="G19" s="3" t="s">
        <v>43</v>
      </c>
      <c r="H19" s="21" t="s">
        <v>44</v>
      </c>
    </row>
    <row r="20" spans="3:8">
      <c r="C20" t="s">
        <v>15</v>
      </c>
      <c r="D20" s="10">
        <f>SUM(K7:K14)/$D$19</f>
        <v>6858.492200216464</v>
      </c>
      <c r="G20" s="23">
        <f>1.5*((SUM(J7:J14)^2)/48)^0.5</f>
        <v>1.9140259997083429E-5</v>
      </c>
      <c r="H20" s="21">
        <f>(0.02 + G20^2)^0.5</f>
        <v>0.14142135753255075</v>
      </c>
    </row>
    <row r="21" spans="3:8">
      <c r="C21" t="s">
        <v>16</v>
      </c>
      <c r="D21" s="10">
        <f>D18-D20*D17</f>
        <v>-16.319389342594249</v>
      </c>
    </row>
    <row r="22" spans="3:8">
      <c r="C22" t="s">
        <v>18</v>
      </c>
      <c r="D22">
        <f>1/6*SUM(L7:L14)</f>
        <v>6.9202018547178241</v>
      </c>
    </row>
    <row r="23" spans="3:8">
      <c r="C23" t="s">
        <v>20</v>
      </c>
      <c r="D23">
        <f>(D22/D19)^0.5</f>
        <v>279.78265366794028</v>
      </c>
    </row>
    <row r="24" spans="3:8">
      <c r="C24" t="s">
        <v>21</v>
      </c>
      <c r="D24">
        <f>((1/6+D17^2/D19)*D22)^0.5</f>
        <v>4.270430166922182</v>
      </c>
    </row>
  </sheetData>
  <mergeCells count="6">
    <mergeCell ref="C5:C6"/>
    <mergeCell ref="D5:D6"/>
    <mergeCell ref="E5:E6"/>
    <mergeCell ref="G5:G6"/>
    <mergeCell ref="H5:H6"/>
    <mergeCell ref="F5:F6"/>
  </mergeCells>
  <pageMargins left="0.7" right="0.7" top="0.75" bottom="0.75" header="0.3" footer="0.3"/>
  <pageSetup paperSize="9" orientation="portrait" horizontalDpi="200" verticalDpi="200" r:id="rId1"/>
  <legacyDrawing r:id="rId2"/>
  <oleObjects>
    <oleObject progId="Equation.DSMT4" shapeId="1039" r:id="rId3"/>
    <oleObject progId="Equation.DSMT4" shapeId="1038" r:id="rId4"/>
    <oleObject progId="Equation.DSMT4" shapeId="1037" r:id="rId5"/>
    <oleObject progId="Equation.DSMT4" shapeId="1036" r:id="rId6"/>
    <oleObject progId="Equation.DSMT4" shapeId="1035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1:L24"/>
  <sheetViews>
    <sheetView workbookViewId="0">
      <selection activeCell="D5" sqref="D5:D6"/>
    </sheetView>
  </sheetViews>
  <sheetFormatPr defaultRowHeight="15"/>
  <cols>
    <col min="4" max="4" width="13" customWidth="1"/>
    <col min="5" max="5" width="14.5703125" customWidth="1"/>
    <col min="6" max="6" width="12.28515625" customWidth="1"/>
    <col min="7" max="7" width="16.140625" customWidth="1"/>
    <col min="8" max="8" width="17.5703125" customWidth="1"/>
    <col min="9" max="9" width="14.28515625" customWidth="1"/>
    <col min="10" max="10" width="15.7109375" customWidth="1"/>
    <col min="12" max="12" width="15.140625" customWidth="1"/>
  </cols>
  <sheetData>
    <row r="1" spans="3:12">
      <c r="C1" t="s">
        <v>8</v>
      </c>
      <c r="D1" t="s">
        <v>6</v>
      </c>
      <c r="E1" t="s">
        <v>7</v>
      </c>
      <c r="F1" t="s">
        <v>5</v>
      </c>
    </row>
    <row r="2" spans="3:12">
      <c r="C2" s="3">
        <v>758.6</v>
      </c>
      <c r="D2" s="3">
        <v>13.55</v>
      </c>
      <c r="E2" s="3">
        <v>9.8190000000000008</v>
      </c>
      <c r="F2" s="4">
        <v>101.9</v>
      </c>
    </row>
    <row r="3" spans="3:12">
      <c r="C3" t="s">
        <v>4</v>
      </c>
      <c r="D3" t="s">
        <v>3</v>
      </c>
      <c r="E3" t="s">
        <v>2</v>
      </c>
    </row>
    <row r="4" spans="3:12" ht="15.75" thickBot="1">
      <c r="C4" s="4">
        <v>22.5</v>
      </c>
      <c r="D4" s="4">
        <v>22.3</v>
      </c>
      <c r="E4" s="4">
        <f>(C4+D4)/2</f>
        <v>22.4</v>
      </c>
    </row>
    <row r="5" spans="3:12">
      <c r="C5" s="27" t="s">
        <v>0</v>
      </c>
      <c r="D5" s="27" t="s">
        <v>1</v>
      </c>
      <c r="E5" s="27" t="s">
        <v>10</v>
      </c>
      <c r="F5" s="33" t="s">
        <v>11</v>
      </c>
      <c r="G5" s="27" t="s">
        <v>10</v>
      </c>
      <c r="H5" s="27" t="s">
        <v>9</v>
      </c>
      <c r="I5" t="s">
        <v>14</v>
      </c>
      <c r="J5" s="6" t="s">
        <v>17</v>
      </c>
      <c r="K5" t="s">
        <v>15</v>
      </c>
      <c r="L5" t="s">
        <v>19</v>
      </c>
    </row>
    <row r="6" spans="3:12" ht="15.75" thickBot="1">
      <c r="C6" s="28"/>
      <c r="D6" s="28"/>
      <c r="E6" s="28"/>
      <c r="F6" s="34"/>
      <c r="G6" s="28"/>
      <c r="H6" s="28"/>
      <c r="J6" s="8"/>
    </row>
    <row r="7" spans="3:12" ht="16.5" thickBot="1">
      <c r="C7" s="2">
        <v>1</v>
      </c>
      <c r="D7" s="1">
        <v>50</v>
      </c>
      <c r="E7" s="1">
        <v>-1.2</v>
      </c>
      <c r="F7" s="1">
        <v>-1.2</v>
      </c>
      <c r="G7" s="18">
        <f>$F$2+(E7+F7)/2</f>
        <v>100.7</v>
      </c>
      <c r="H7" s="19">
        <f>1/G7</f>
        <v>9.9304865938430985E-3</v>
      </c>
      <c r="I7" s="7">
        <f>(H7-$D$17)</f>
        <v>-3.9623421304279677E-3</v>
      </c>
      <c r="J7" s="8">
        <f>(H7-$D$17)^2</f>
        <v>1.5700155158564445E-5</v>
      </c>
      <c r="K7">
        <f>I7*D7</f>
        <v>-0.19811710652139838</v>
      </c>
      <c r="L7" s="11">
        <f>(D7-$D$20*H7-$D$21)^2</f>
        <v>30.253769999245534</v>
      </c>
    </row>
    <row r="8" spans="3:12" ht="16.5" thickBot="1">
      <c r="C8" s="2">
        <v>2</v>
      </c>
      <c r="D8" s="1">
        <v>60</v>
      </c>
      <c r="E8" s="1">
        <v>-3.1</v>
      </c>
      <c r="F8" s="1">
        <v>-3.3</v>
      </c>
      <c r="G8" s="18">
        <f t="shared" ref="G8:G14" si="0">$F$2+(E8+F8)/2</f>
        <v>98.7</v>
      </c>
      <c r="H8" s="19">
        <f t="shared" ref="H8:H14" si="1">1/G8</f>
        <v>1.0131712259371834E-2</v>
      </c>
      <c r="I8" s="7">
        <f t="shared" ref="I8:I14" si="2">(H8-$D$17)</f>
        <v>-3.7611164648992321E-3</v>
      </c>
      <c r="J8" s="8">
        <f t="shared" ref="J8:J14" si="3">(H8-$D$17)^2</f>
        <v>1.4145997062536097E-5</v>
      </c>
      <c r="K8">
        <f t="shared" ref="K8:K14" si="4">I8*D8</f>
        <v>-0.22566698789395392</v>
      </c>
      <c r="L8" s="11">
        <f t="shared" ref="L8:L14" si="5">(D8-$D$20*H8-$D$21)^2</f>
        <v>9.0091894347395094</v>
      </c>
    </row>
    <row r="9" spans="3:12" ht="16.5" thickBot="1">
      <c r="C9" s="2">
        <v>3</v>
      </c>
      <c r="D9" s="1">
        <v>70</v>
      </c>
      <c r="E9" s="1">
        <v>-16.3</v>
      </c>
      <c r="F9" s="1">
        <v>-15.7</v>
      </c>
      <c r="G9" s="18">
        <f t="shared" si="0"/>
        <v>85.9</v>
      </c>
      <c r="H9" s="19">
        <f t="shared" si="1"/>
        <v>1.1641443538998835E-2</v>
      </c>
      <c r="I9" s="7">
        <f>(H9-$D$17)</f>
        <v>-2.2513851852722314E-3</v>
      </c>
      <c r="J9" s="8">
        <f t="shared" si="3"/>
        <v>5.0687352524632794E-6</v>
      </c>
      <c r="K9">
        <f t="shared" si="4"/>
        <v>-0.1575969629690562</v>
      </c>
      <c r="L9" s="11">
        <f t="shared" si="5"/>
        <v>3.1031434430757487</v>
      </c>
    </row>
    <row r="10" spans="3:12" ht="16.5" thickBot="1">
      <c r="C10" s="2">
        <v>4</v>
      </c>
      <c r="D10" s="1">
        <v>80</v>
      </c>
      <c r="E10" s="1">
        <v>-25.5</v>
      </c>
      <c r="F10" s="1">
        <v>-25.7</v>
      </c>
      <c r="G10" s="18">
        <f t="shared" si="0"/>
        <v>76.300000000000011</v>
      </c>
      <c r="H10" s="19">
        <f t="shared" si="1"/>
        <v>1.3106159895150718E-2</v>
      </c>
      <c r="I10" s="7">
        <f t="shared" si="2"/>
        <v>-7.8666882912034782E-4</v>
      </c>
      <c r="J10" s="8">
        <f t="shared" si="3"/>
        <v>6.1884784670957902E-7</v>
      </c>
      <c r="K10">
        <f t="shared" si="4"/>
        <v>-6.2933506329627825E-2</v>
      </c>
      <c r="L10" s="11">
        <f t="shared" si="5"/>
        <v>0.7340264361081712</v>
      </c>
    </row>
    <row r="11" spans="3:12" ht="16.5" thickBot="1">
      <c r="C11" s="2">
        <v>5</v>
      </c>
      <c r="D11" s="1">
        <v>90</v>
      </c>
      <c r="E11" s="1">
        <v>-33.200000000000003</v>
      </c>
      <c r="F11" s="1">
        <v>-33.1</v>
      </c>
      <c r="G11" s="18">
        <f t="shared" si="0"/>
        <v>68.75</v>
      </c>
      <c r="H11" s="19">
        <f t="shared" si="1"/>
        <v>1.4545454545454545E-2</v>
      </c>
      <c r="I11" s="7">
        <f t="shared" si="2"/>
        <v>6.5262582118347928E-4</v>
      </c>
      <c r="J11" s="8">
        <f t="shared" si="3"/>
        <v>4.2592046247541066E-7</v>
      </c>
      <c r="K11">
        <f t="shared" si="4"/>
        <v>5.8736323906513135E-2</v>
      </c>
      <c r="L11" s="11">
        <f t="shared" si="5"/>
        <v>1.9936719033951243E-2</v>
      </c>
    </row>
    <row r="12" spans="3:12" ht="16.5" thickBot="1">
      <c r="C12" s="2">
        <v>6</v>
      </c>
      <c r="D12" s="1">
        <v>100</v>
      </c>
      <c r="E12" s="1">
        <v>-37.799999999999997</v>
      </c>
      <c r="F12" s="1">
        <v>-38.200000000000003</v>
      </c>
      <c r="G12" s="18">
        <f t="shared" si="0"/>
        <v>63.900000000000006</v>
      </c>
      <c r="H12" s="19">
        <f t="shared" si="1"/>
        <v>1.5649452269170576E-2</v>
      </c>
      <c r="I12" s="7">
        <f t="shared" si="2"/>
        <v>1.7566235448995098E-3</v>
      </c>
      <c r="J12" s="8">
        <f t="shared" si="3"/>
        <v>3.0857262784953201E-6</v>
      </c>
      <c r="K12">
        <f t="shared" si="4"/>
        <v>0.17566235448995099</v>
      </c>
      <c r="L12" s="11">
        <f t="shared" si="5"/>
        <v>3.6938102636488397</v>
      </c>
    </row>
    <row r="13" spans="3:12" ht="16.5" thickBot="1">
      <c r="C13" s="2">
        <v>7</v>
      </c>
      <c r="D13" s="1">
        <v>110</v>
      </c>
      <c r="E13" s="1">
        <v>-44.5</v>
      </c>
      <c r="F13" s="1">
        <v>-44.2</v>
      </c>
      <c r="G13" s="18">
        <f t="shared" si="0"/>
        <v>57.550000000000004</v>
      </c>
      <c r="H13" s="19">
        <f t="shared" si="1"/>
        <v>1.7376194613379668E-2</v>
      </c>
      <c r="I13" s="7">
        <f t="shared" si="2"/>
        <v>3.4833658891086014E-3</v>
      </c>
      <c r="J13" s="8">
        <f t="shared" si="3"/>
        <v>1.2133837917405358E-5</v>
      </c>
      <c r="K13">
        <f t="shared" si="4"/>
        <v>0.38317024780194614</v>
      </c>
      <c r="L13" s="11">
        <f t="shared" si="5"/>
        <v>0.87175224437546928</v>
      </c>
    </row>
    <row r="14" spans="3:12" ht="16.5" thickBot="1">
      <c r="C14" s="2">
        <v>8</v>
      </c>
      <c r="D14" s="1">
        <v>120</v>
      </c>
      <c r="E14" s="1">
        <v>-48.6</v>
      </c>
      <c r="F14" s="1">
        <v>-48.6</v>
      </c>
      <c r="G14" s="18">
        <f t="shared" si="0"/>
        <v>53.300000000000004</v>
      </c>
      <c r="H14" s="19">
        <f t="shared" si="1"/>
        <v>1.8761726078799248E-2</v>
      </c>
      <c r="I14" s="7">
        <f t="shared" si="2"/>
        <v>4.8688973545281816E-3</v>
      </c>
      <c r="J14" s="8">
        <f t="shared" si="3"/>
        <v>2.3706161448931525E-5</v>
      </c>
      <c r="K14">
        <f t="shared" si="4"/>
        <v>0.58426768254338179</v>
      </c>
      <c r="L14" s="11">
        <f t="shared" si="5"/>
        <v>1.5599148970460692</v>
      </c>
    </row>
    <row r="17" spans="3:8">
      <c r="C17" t="s">
        <v>12</v>
      </c>
      <c r="D17" s="7">
        <f>SUM(H7:H14)/8</f>
        <v>1.3892828724271066E-2</v>
      </c>
    </row>
    <row r="18" spans="3:8">
      <c r="C18" t="s">
        <v>13</v>
      </c>
      <c r="D18" s="9">
        <f>SUM(D7:D14)/8</f>
        <v>85</v>
      </c>
    </row>
    <row r="19" spans="3:8">
      <c r="C19" t="s">
        <v>14</v>
      </c>
      <c r="D19" s="7">
        <f>SUM(J7:J14)</f>
        <v>7.4885381427581006E-5</v>
      </c>
      <c r="G19" s="3" t="s">
        <v>43</v>
      </c>
      <c r="H19" s="21" t="s">
        <v>44</v>
      </c>
    </row>
    <row r="20" spans="3:8">
      <c r="C20" t="s">
        <v>15</v>
      </c>
      <c r="D20" s="10">
        <f>SUM(K7:K14)/$D$19</f>
        <v>7445.005078419953</v>
      </c>
      <c r="G20" s="23">
        <f>1.5*((SUM(J7:J14)^2)/48)^0.5</f>
        <v>1.6213160672093135E-5</v>
      </c>
      <c r="H20" s="21">
        <f>(0.001 + G20^2)^0.5</f>
        <v>3.1622780757969073E-2</v>
      </c>
    </row>
    <row r="21" spans="3:8">
      <c r="C21" t="s">
        <v>16</v>
      </c>
      <c r="D21" s="10">
        <f>D18-D20*D17</f>
        <v>-18.43218040581668</v>
      </c>
    </row>
    <row r="22" spans="3:8">
      <c r="C22" t="s">
        <v>18</v>
      </c>
      <c r="D22">
        <f>1/6*SUM(L7:L14)</f>
        <v>8.2075905728788836</v>
      </c>
    </row>
    <row r="23" spans="3:8">
      <c r="C23" t="s">
        <v>20</v>
      </c>
      <c r="D23">
        <f>(D22/D19)^0.5</f>
        <v>331.06198819841012</v>
      </c>
    </row>
    <row r="24" spans="3:8">
      <c r="C24" t="s">
        <v>21</v>
      </c>
      <c r="D24">
        <f>((1/6+D17^2/D19)*D22)^0.5</f>
        <v>4.7457662320798786</v>
      </c>
    </row>
  </sheetData>
  <mergeCells count="6">
    <mergeCell ref="G5:G6"/>
    <mergeCell ref="H5:H6"/>
    <mergeCell ref="C5:C6"/>
    <mergeCell ref="D5:D6"/>
    <mergeCell ref="E5:E6"/>
    <mergeCell ref="F5:F6"/>
  </mergeCells>
  <pageMargins left="0.7" right="0.7" top="0.75" bottom="0.75" header="0.3" footer="0.3"/>
  <legacyDrawing r:id="rId1"/>
  <oleObjects>
    <oleObject progId="Equation.DSMT4" shapeId="2054" r:id="rId2"/>
    <oleObject progId="Equation.DSMT4" shapeId="2055" r:id="rId3"/>
    <oleObject progId="Equation.DSMT4" shapeId="2056" r:id="rId4"/>
    <oleObject progId="Equation.DSMT4" shapeId="2057" r:id="rId5"/>
    <oleObject progId="Equation.DSMT4" shapeId="2058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1:L24"/>
  <sheetViews>
    <sheetView workbookViewId="0">
      <selection activeCell="D5" sqref="D5:D6"/>
    </sheetView>
  </sheetViews>
  <sheetFormatPr defaultRowHeight="15"/>
  <cols>
    <col min="4" max="4" width="12.85546875" customWidth="1"/>
    <col min="5" max="5" width="12.7109375" customWidth="1"/>
    <col min="6" max="6" width="13.28515625" bestFit="1" customWidth="1"/>
    <col min="7" max="7" width="13.140625" bestFit="1" customWidth="1"/>
    <col min="8" max="8" width="15.28515625" customWidth="1"/>
    <col min="9" max="9" width="15" customWidth="1"/>
    <col min="10" max="10" width="14.5703125" customWidth="1"/>
    <col min="12" max="12" width="15.5703125" customWidth="1"/>
  </cols>
  <sheetData>
    <row r="1" spans="3:12">
      <c r="C1" t="s">
        <v>8</v>
      </c>
      <c r="D1" t="s">
        <v>6</v>
      </c>
      <c r="E1" t="s">
        <v>7</v>
      </c>
      <c r="F1" t="s">
        <v>5</v>
      </c>
    </row>
    <row r="2" spans="3:12">
      <c r="C2" s="3">
        <v>758.6</v>
      </c>
      <c r="D2" s="3">
        <v>13.55</v>
      </c>
      <c r="E2" s="3">
        <v>9.8190000000000008</v>
      </c>
      <c r="F2" s="4">
        <v>101.9</v>
      </c>
    </row>
    <row r="3" spans="3:12">
      <c r="C3" t="s">
        <v>4</v>
      </c>
      <c r="D3" t="s">
        <v>3</v>
      </c>
      <c r="E3" t="s">
        <v>2</v>
      </c>
    </row>
    <row r="4" spans="3:12" ht="15.75" thickBot="1">
      <c r="C4" s="4">
        <v>34.700000000000003</v>
      </c>
      <c r="D4" s="4">
        <v>34.4</v>
      </c>
      <c r="E4" s="4">
        <f>(C4+D4)/2</f>
        <v>34.549999999999997</v>
      </c>
    </row>
    <row r="5" spans="3:12">
      <c r="C5" s="27" t="s">
        <v>0</v>
      </c>
      <c r="D5" s="27" t="s">
        <v>1</v>
      </c>
      <c r="E5" s="27" t="s">
        <v>10</v>
      </c>
      <c r="F5" s="33" t="s">
        <v>11</v>
      </c>
      <c r="G5" s="27" t="s">
        <v>10</v>
      </c>
      <c r="H5" s="27" t="s">
        <v>9</v>
      </c>
      <c r="I5" t="s">
        <v>14</v>
      </c>
      <c r="J5" s="6" t="s">
        <v>17</v>
      </c>
      <c r="K5" t="s">
        <v>15</v>
      </c>
      <c r="L5" t="s">
        <v>19</v>
      </c>
    </row>
    <row r="6" spans="3:12" ht="15.75" thickBot="1">
      <c r="C6" s="28"/>
      <c r="D6" s="28"/>
      <c r="E6" s="28"/>
      <c r="F6" s="34"/>
      <c r="G6" s="28"/>
      <c r="H6" s="28"/>
      <c r="J6" s="8"/>
    </row>
    <row r="7" spans="3:12" ht="16.5" thickBot="1">
      <c r="C7" s="2">
        <v>1</v>
      </c>
      <c r="D7" s="1">
        <v>50</v>
      </c>
      <c r="E7" s="1">
        <v>16.3</v>
      </c>
      <c r="F7" s="1">
        <v>16.3</v>
      </c>
      <c r="G7" s="18">
        <f>$F$2+(E7+F7)/2</f>
        <v>118.2</v>
      </c>
      <c r="H7" s="19">
        <f>1/G7</f>
        <v>8.4602368866328256E-3</v>
      </c>
      <c r="I7" s="7">
        <f>(H7-$D$17)</f>
        <v>-4.842492373275397E-3</v>
      </c>
      <c r="J7" s="8">
        <f>(H7-$D$17)^2</f>
        <v>2.3449732385230386E-5</v>
      </c>
      <c r="K7">
        <f>I7*D7</f>
        <v>-0.24212461866376986</v>
      </c>
      <c r="L7" s="11">
        <f>(D7-$D$20*H7-$D$21)^2</f>
        <v>1.1435921300017462</v>
      </c>
    </row>
    <row r="8" spans="3:12" ht="16.5" thickBot="1">
      <c r="C8" s="2">
        <v>2</v>
      </c>
      <c r="D8" s="1">
        <v>60</v>
      </c>
      <c r="E8" s="1">
        <v>0.6</v>
      </c>
      <c r="F8" s="1">
        <v>0.6</v>
      </c>
      <c r="G8" s="18">
        <f t="shared" ref="G8:G14" si="0">$F$2+(E8+F8)/2</f>
        <v>102.5</v>
      </c>
      <c r="H8" s="19">
        <f t="shared" ref="H8:H14" si="1">1/G8</f>
        <v>9.7560975609756097E-3</v>
      </c>
      <c r="I8" s="7">
        <f t="shared" ref="I8:I14" si="2">(H8-$D$17)</f>
        <v>-3.5466316989326129E-3</v>
      </c>
      <c r="J8" s="8">
        <f t="shared" ref="J8:J14" si="3">(H8-$D$17)^2</f>
        <v>1.2578596407873633E-5</v>
      </c>
      <c r="K8">
        <f t="shared" ref="K8:K14" si="4">I8*D8</f>
        <v>-0.21279790193595677</v>
      </c>
      <c r="L8" s="11">
        <f t="shared" ref="L8:L14" si="5">(D8-$D$20*H8-$D$21)^2</f>
        <v>2.2287007287474417E-2</v>
      </c>
    </row>
    <row r="9" spans="3:12" ht="16.5" thickBot="1">
      <c r="C9" s="2">
        <v>3</v>
      </c>
      <c r="D9" s="1">
        <v>70</v>
      </c>
      <c r="E9" s="1">
        <v>-11.5</v>
      </c>
      <c r="F9" s="1">
        <v>-12</v>
      </c>
      <c r="G9" s="18">
        <f t="shared" si="0"/>
        <v>90.15</v>
      </c>
      <c r="H9" s="19">
        <f t="shared" si="1"/>
        <v>1.1092623405435384E-2</v>
      </c>
      <c r="I9" s="7">
        <f t="shared" si="2"/>
        <v>-2.2101058544728384E-3</v>
      </c>
      <c r="J9" s="8">
        <f t="shared" si="3"/>
        <v>4.8845678879751152E-6</v>
      </c>
      <c r="K9">
        <f t="shared" si="4"/>
        <v>-0.15470740981309869</v>
      </c>
      <c r="L9" s="11">
        <f t="shared" si="5"/>
        <v>0.23607675566944952</v>
      </c>
    </row>
    <row r="10" spans="3:12" ht="16.5" thickBot="1">
      <c r="C10" s="2">
        <v>4</v>
      </c>
      <c r="D10" s="1">
        <v>80</v>
      </c>
      <c r="E10" s="1">
        <v>-22.2</v>
      </c>
      <c r="F10" s="1">
        <v>-22.2</v>
      </c>
      <c r="G10" s="18">
        <f t="shared" si="0"/>
        <v>79.7</v>
      </c>
      <c r="H10" s="19">
        <f t="shared" si="1"/>
        <v>1.2547051442910916E-2</v>
      </c>
      <c r="I10" s="7">
        <f t="shared" si="2"/>
        <v>-7.5567781699730635E-4</v>
      </c>
      <c r="J10" s="8">
        <f t="shared" si="3"/>
        <v>5.7104896310181438E-7</v>
      </c>
      <c r="K10">
        <f t="shared" si="4"/>
        <v>-6.0454225359784508E-2</v>
      </c>
      <c r="L10" s="11">
        <f t="shared" si="5"/>
        <v>8.6977877200386952E-2</v>
      </c>
    </row>
    <row r="11" spans="3:12" ht="16.5" thickBot="1">
      <c r="C11" s="2">
        <v>5</v>
      </c>
      <c r="D11" s="1">
        <v>90</v>
      </c>
      <c r="E11" s="1">
        <v>-29.8</v>
      </c>
      <c r="F11" s="1">
        <v>-29.6</v>
      </c>
      <c r="G11" s="18">
        <f t="shared" si="0"/>
        <v>72.2</v>
      </c>
      <c r="H11" s="19">
        <f t="shared" si="1"/>
        <v>1.3850415512465374E-2</v>
      </c>
      <c r="I11" s="7">
        <f t="shared" si="2"/>
        <v>5.4768625255715089E-4</v>
      </c>
      <c r="J11" s="8">
        <f t="shared" si="3"/>
        <v>2.9996023124009529E-7</v>
      </c>
      <c r="K11">
        <f t="shared" si="4"/>
        <v>4.929176273014358E-2</v>
      </c>
      <c r="L11" s="11">
        <f t="shared" si="5"/>
        <v>1.3512790760253053</v>
      </c>
    </row>
    <row r="12" spans="3:12" ht="16.5" thickBot="1">
      <c r="C12" s="2">
        <v>6</v>
      </c>
      <c r="D12" s="1">
        <v>100</v>
      </c>
      <c r="E12" s="1">
        <v>-36.6</v>
      </c>
      <c r="F12" s="1">
        <v>-36.1</v>
      </c>
      <c r="G12" s="18">
        <f t="shared" si="0"/>
        <v>65.550000000000011</v>
      </c>
      <c r="H12" s="19">
        <f t="shared" si="1"/>
        <v>1.5255530129672004E-2</v>
      </c>
      <c r="I12" s="7">
        <f t="shared" si="2"/>
        <v>1.9528008697637812E-3</v>
      </c>
      <c r="J12" s="8">
        <f t="shared" si="3"/>
        <v>3.8134312369501804E-6</v>
      </c>
      <c r="K12">
        <f t="shared" si="4"/>
        <v>0.19528008697637811</v>
      </c>
      <c r="L12" s="11">
        <f t="shared" si="5"/>
        <v>1.7345411250890967</v>
      </c>
    </row>
    <row r="13" spans="3:12" ht="16.5" thickBot="1">
      <c r="C13" s="2">
        <v>7</v>
      </c>
      <c r="D13" s="1">
        <v>110</v>
      </c>
      <c r="E13" s="1">
        <v>-41.4</v>
      </c>
      <c r="F13" s="1">
        <v>-46.2</v>
      </c>
      <c r="G13" s="18">
        <f t="shared" si="0"/>
        <v>58.100000000000009</v>
      </c>
      <c r="H13" s="19">
        <f t="shared" si="1"/>
        <v>1.7211703958691909E-2</v>
      </c>
      <c r="I13" s="7">
        <f t="shared" si="2"/>
        <v>3.9089746987836863E-3</v>
      </c>
      <c r="J13" s="8">
        <f t="shared" si="3"/>
        <v>1.5280083195731011E-5</v>
      </c>
      <c r="K13">
        <f t="shared" si="4"/>
        <v>0.4299872168662055</v>
      </c>
      <c r="L13" s="11">
        <f t="shared" si="5"/>
        <v>5.7101606164426775</v>
      </c>
    </row>
    <row r="14" spans="3:12" ht="16.5" thickBot="1">
      <c r="C14" s="2">
        <v>8</v>
      </c>
      <c r="D14" s="1">
        <v>120</v>
      </c>
      <c r="E14" s="1">
        <v>-47.1</v>
      </c>
      <c r="F14" s="1">
        <v>-47.1</v>
      </c>
      <c r="G14" s="18">
        <f t="shared" si="0"/>
        <v>54.800000000000004</v>
      </c>
      <c r="H14" s="19">
        <f t="shared" si="1"/>
        <v>1.824817518248175E-2</v>
      </c>
      <c r="I14" s="7">
        <f t="shared" si="2"/>
        <v>4.9454459225735277E-3</v>
      </c>
      <c r="J14" s="8">
        <f t="shared" si="3"/>
        <v>2.4457435373099131E-5</v>
      </c>
      <c r="K14">
        <f t="shared" si="4"/>
        <v>0.59345351070882335</v>
      </c>
      <c r="L14" s="11">
        <f t="shared" si="5"/>
        <v>0.12111007574418593</v>
      </c>
    </row>
    <row r="17" spans="3:8">
      <c r="C17" t="s">
        <v>12</v>
      </c>
      <c r="D17" s="7">
        <f>SUM(H7:H14)/8</f>
        <v>1.3302729259908223E-2</v>
      </c>
    </row>
    <row r="18" spans="3:8">
      <c r="C18" t="s">
        <v>13</v>
      </c>
      <c r="D18" s="9">
        <f>SUM(D7:D14)/8</f>
        <v>85</v>
      </c>
    </row>
    <row r="19" spans="3:8">
      <c r="C19" t="s">
        <v>14</v>
      </c>
      <c r="D19" s="7">
        <f>SUM(J7:J14)</f>
        <v>8.5334855681201371E-5</v>
      </c>
      <c r="G19" s="3" t="s">
        <v>43</v>
      </c>
      <c r="H19" s="21" t="s">
        <v>44</v>
      </c>
    </row>
    <row r="20" spans="3:8">
      <c r="C20" t="s">
        <v>15</v>
      </c>
      <c r="D20" s="10">
        <f>SUM(K7:K14)/$D$19</f>
        <v>7006.8486872786707</v>
      </c>
      <c r="G20" s="23">
        <f>1.5*((SUM(J7:J14)^2)/48)^0.5</f>
        <v>1.8475538212049806E-5</v>
      </c>
      <c r="H20" s="21">
        <f>(0.001 + G20^2)^0.5</f>
        <v>3.1622781998829771E-2</v>
      </c>
    </row>
    <row r="21" spans="3:8">
      <c r="C21" t="s">
        <v>16</v>
      </c>
      <c r="D21" s="10">
        <f>D18-D20*D17</f>
        <v>-8.2102110520114877</v>
      </c>
    </row>
    <row r="22" spans="3:8">
      <c r="C22" t="s">
        <v>18</v>
      </c>
      <c r="D22">
        <f>1/6*SUM(L7:L14)</f>
        <v>1.7343374439100538</v>
      </c>
    </row>
    <row r="23" spans="3:8">
      <c r="C23" t="s">
        <v>20</v>
      </c>
      <c r="D23">
        <f>(D22/D19)^0.5</f>
        <v>142.56193160195801</v>
      </c>
    </row>
    <row r="24" spans="3:8">
      <c r="C24" t="s">
        <v>21</v>
      </c>
      <c r="D24">
        <f>((1/6+D17^2/D19)*D22)^0.5</f>
        <v>1.9711994603013974</v>
      </c>
    </row>
  </sheetData>
  <mergeCells count="6"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legacyDrawing r:id="rId1"/>
  <oleObjects>
    <oleObject progId="Equation.DSMT4" shapeId="3079" r:id="rId2"/>
    <oleObject progId="Equation.DSMT4" shapeId="3080" r:id="rId3"/>
    <oleObject progId="Equation.DSMT4" shapeId="3081" r:id="rId4"/>
    <oleObject progId="Equation.DSMT4" shapeId="3082" r:id="rId5"/>
    <oleObject progId="Equation.DSMT4" shapeId="3083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C1:L24"/>
  <sheetViews>
    <sheetView workbookViewId="0">
      <selection activeCell="D5" sqref="D5:D6"/>
    </sheetView>
  </sheetViews>
  <sheetFormatPr defaultRowHeight="15"/>
  <cols>
    <col min="4" max="4" width="14.5703125" customWidth="1"/>
    <col min="5" max="5" width="12.7109375" customWidth="1"/>
    <col min="6" max="6" width="13.28515625" bestFit="1" customWidth="1"/>
    <col min="7" max="7" width="13.140625" bestFit="1" customWidth="1"/>
    <col min="8" max="8" width="15.28515625" customWidth="1"/>
    <col min="9" max="9" width="15.7109375" customWidth="1"/>
    <col min="10" max="10" width="15.42578125" customWidth="1"/>
    <col min="11" max="11" width="12.42578125" customWidth="1"/>
    <col min="12" max="12" width="15.42578125" customWidth="1"/>
  </cols>
  <sheetData>
    <row r="1" spans="3:12">
      <c r="C1" t="s">
        <v>8</v>
      </c>
      <c r="D1" t="s">
        <v>6</v>
      </c>
      <c r="E1" t="s">
        <v>7</v>
      </c>
      <c r="F1" t="s">
        <v>5</v>
      </c>
    </row>
    <row r="2" spans="3:12">
      <c r="C2" s="3">
        <v>758.6</v>
      </c>
      <c r="D2" s="3">
        <v>13.55</v>
      </c>
      <c r="E2" s="3">
        <v>9.8190000000000008</v>
      </c>
      <c r="F2" s="4">
        <v>101.9</v>
      </c>
    </row>
    <row r="3" spans="3:12">
      <c r="C3" t="s">
        <v>4</v>
      </c>
      <c r="D3" t="s">
        <v>3</v>
      </c>
      <c r="E3" t="s">
        <v>2</v>
      </c>
    </row>
    <row r="4" spans="3:12" ht="15.75" thickBot="1">
      <c r="C4" s="4">
        <v>48.2</v>
      </c>
      <c r="D4" s="4">
        <v>47.8</v>
      </c>
      <c r="E4" s="4">
        <f>(C4+D4)/2</f>
        <v>48</v>
      </c>
    </row>
    <row r="5" spans="3:12">
      <c r="C5" s="27" t="s">
        <v>0</v>
      </c>
      <c r="D5" s="27" t="s">
        <v>1</v>
      </c>
      <c r="E5" s="27" t="s">
        <v>10</v>
      </c>
      <c r="F5" s="33" t="s">
        <v>11</v>
      </c>
      <c r="G5" s="27" t="s">
        <v>10</v>
      </c>
      <c r="H5" s="27" t="s">
        <v>9</v>
      </c>
      <c r="I5" t="s">
        <v>14</v>
      </c>
      <c r="J5" s="6" t="s">
        <v>17</v>
      </c>
      <c r="K5" t="s">
        <v>15</v>
      </c>
      <c r="L5" t="s">
        <v>19</v>
      </c>
    </row>
    <row r="6" spans="3:12" ht="15.75" thickBot="1">
      <c r="C6" s="28"/>
      <c r="D6" s="28"/>
      <c r="E6" s="28"/>
      <c r="F6" s="34"/>
      <c r="G6" s="28"/>
      <c r="H6" s="28"/>
      <c r="J6" s="8"/>
    </row>
    <row r="7" spans="3:12" ht="16.5" thickBot="1">
      <c r="C7" s="2">
        <v>1</v>
      </c>
      <c r="D7" s="1">
        <v>50</v>
      </c>
      <c r="E7" s="1">
        <v>23.5</v>
      </c>
      <c r="F7" s="1">
        <v>23.5</v>
      </c>
      <c r="G7" s="18">
        <f>$F$2+(E7+F7)/2</f>
        <v>125.4</v>
      </c>
      <c r="H7" s="19">
        <f>1/G7</f>
        <v>7.9744816586921844E-3</v>
      </c>
      <c r="I7" s="7">
        <f>(H7-$D$17)</f>
        <v>-4.5471622834391441E-3</v>
      </c>
      <c r="J7" s="8">
        <f>(H7-$D$17)^2</f>
        <v>2.0676684831931493E-5</v>
      </c>
      <c r="K7">
        <f>I7*D7</f>
        <v>-0.2273581141719572</v>
      </c>
      <c r="L7" s="11">
        <f>(D7-$D$20*H7-$D$21)^2</f>
        <v>4.5419441553034868E-4</v>
      </c>
    </row>
    <row r="8" spans="3:12" ht="16.5" thickBot="1">
      <c r="C8" s="2">
        <v>2</v>
      </c>
      <c r="D8" s="1">
        <v>60</v>
      </c>
      <c r="E8" s="1">
        <v>6.1</v>
      </c>
      <c r="F8" s="1">
        <v>5.7</v>
      </c>
      <c r="G8" s="18">
        <f t="shared" ref="G8:G14" si="0">$F$2+(E8+F8)/2</f>
        <v>107.80000000000001</v>
      </c>
      <c r="H8" s="19">
        <f t="shared" ref="H8:H14" si="1">1/G8</f>
        <v>9.2764378478664179E-3</v>
      </c>
      <c r="I8" s="7">
        <f t="shared" ref="I8:I14" si="2">(H8-$D$17)</f>
        <v>-3.2452060942649106E-3</v>
      </c>
      <c r="J8" s="8">
        <f t="shared" ref="J8:J14" si="3">(H8-$D$17)^2</f>
        <v>1.0531362594254116E-5</v>
      </c>
      <c r="K8">
        <f t="shared" ref="K8:K14" si="4">I8*D8</f>
        <v>-0.19471236565589464</v>
      </c>
      <c r="L8" s="11">
        <f t="shared" ref="L8:L14" si="5">(D8-$D$20*H8-$D$21)^2</f>
        <v>3.7062024793144587E-5</v>
      </c>
    </row>
    <row r="9" spans="3:12" ht="16.5" thickBot="1">
      <c r="C9" s="2">
        <v>3</v>
      </c>
      <c r="D9" s="1">
        <v>70</v>
      </c>
      <c r="E9" s="1">
        <v>-7.6</v>
      </c>
      <c r="F9" s="1">
        <v>-7.4</v>
      </c>
      <c r="G9" s="18">
        <f t="shared" si="0"/>
        <v>94.4</v>
      </c>
      <c r="H9" s="19">
        <f t="shared" si="1"/>
        <v>1.059322033898305E-2</v>
      </c>
      <c r="I9" s="7">
        <f t="shared" si="2"/>
        <v>-1.9284236031482781E-3</v>
      </c>
      <c r="J9" s="8">
        <f t="shared" si="3"/>
        <v>3.7188175931793877E-6</v>
      </c>
      <c r="K9">
        <f t="shared" si="4"/>
        <v>-0.13498965222037948</v>
      </c>
      <c r="L9" s="11">
        <f t="shared" si="5"/>
        <v>2.1808405816382211E-2</v>
      </c>
    </row>
    <row r="10" spans="3:12" ht="16.5" thickBot="1">
      <c r="C10" s="2">
        <v>4</v>
      </c>
      <c r="D10" s="1">
        <v>80</v>
      </c>
      <c r="E10" s="1">
        <v>-17.600000000000001</v>
      </c>
      <c r="F10" s="1">
        <v>-17.8</v>
      </c>
      <c r="G10" s="18">
        <f t="shared" si="0"/>
        <v>84.2</v>
      </c>
      <c r="H10" s="19">
        <f t="shared" si="1"/>
        <v>1.1876484560570071E-2</v>
      </c>
      <c r="I10" s="7">
        <f t="shared" si="2"/>
        <v>-6.451593815612576E-4</v>
      </c>
      <c r="J10" s="8">
        <f t="shared" si="3"/>
        <v>4.1623062761650437E-7</v>
      </c>
      <c r="K10">
        <f t="shared" si="4"/>
        <v>-5.1612750524900608E-2</v>
      </c>
      <c r="L10" s="11">
        <f t="shared" si="5"/>
        <v>9.6812374019152622E-4</v>
      </c>
    </row>
    <row r="11" spans="3:12" ht="16.5" thickBot="1">
      <c r="C11" s="2">
        <v>5</v>
      </c>
      <c r="D11" s="1">
        <v>90</v>
      </c>
      <c r="E11" s="1">
        <v>-25.6</v>
      </c>
      <c r="F11" s="1">
        <v>-25.9</v>
      </c>
      <c r="G11" s="18">
        <f t="shared" si="0"/>
        <v>76.150000000000006</v>
      </c>
      <c r="H11" s="19">
        <f t="shared" si="1"/>
        <v>1.3131976362442547E-2</v>
      </c>
      <c r="I11" s="7">
        <f t="shared" si="2"/>
        <v>6.1033242031121801E-4</v>
      </c>
      <c r="J11" s="8">
        <f t="shared" si="3"/>
        <v>3.7250566328294927E-7</v>
      </c>
      <c r="K11">
        <f t="shared" si="4"/>
        <v>5.4929917828009621E-2</v>
      </c>
      <c r="L11" s="11">
        <f t="shared" si="5"/>
        <v>8.9607311481429322E-2</v>
      </c>
    </row>
    <row r="12" spans="3:12" ht="16.5" thickBot="1">
      <c r="C12" s="2">
        <v>6</v>
      </c>
      <c r="D12" s="1">
        <v>100</v>
      </c>
      <c r="E12" s="1">
        <v>-33.200000000000003</v>
      </c>
      <c r="F12" s="1">
        <v>-32.700000000000003</v>
      </c>
      <c r="G12" s="18">
        <f t="shared" si="0"/>
        <v>68.95</v>
      </c>
      <c r="H12" s="19">
        <f t="shared" si="1"/>
        <v>1.45032632342277E-2</v>
      </c>
      <c r="I12" s="7">
        <f t="shared" si="2"/>
        <v>1.9816192920963718E-3</v>
      </c>
      <c r="J12" s="8">
        <f t="shared" si="3"/>
        <v>3.9268150188085254E-6</v>
      </c>
      <c r="K12">
        <f t="shared" si="4"/>
        <v>0.19816192920963718</v>
      </c>
      <c r="L12" s="11">
        <f t="shared" si="5"/>
        <v>6.8657414411459478E-2</v>
      </c>
    </row>
    <row r="13" spans="3:12" ht="16.5" thickBot="1">
      <c r="C13" s="2">
        <v>7</v>
      </c>
      <c r="D13" s="1">
        <v>110</v>
      </c>
      <c r="E13" s="1">
        <v>-38.299999999999997</v>
      </c>
      <c r="F13" s="1">
        <v>-38.299999999999997</v>
      </c>
      <c r="G13" s="18">
        <f t="shared" si="0"/>
        <v>63.600000000000009</v>
      </c>
      <c r="H13" s="19">
        <f t="shared" si="1"/>
        <v>1.5723270440251569E-2</v>
      </c>
      <c r="I13" s="7">
        <f t="shared" si="2"/>
        <v>3.2016264981202403E-3</v>
      </c>
      <c r="J13" s="8">
        <f t="shared" si="3"/>
        <v>1.0250412233465672E-5</v>
      </c>
      <c r="K13">
        <f t="shared" si="4"/>
        <v>0.35217891479322644</v>
      </c>
      <c r="L13" s="11">
        <f t="shared" si="5"/>
        <v>0.11677869265300343</v>
      </c>
    </row>
    <row r="14" spans="3:12" ht="16.5" thickBot="1">
      <c r="C14" s="2">
        <v>8</v>
      </c>
      <c r="D14" s="1">
        <v>120</v>
      </c>
      <c r="E14" s="1">
        <v>-43.4</v>
      </c>
      <c r="F14" s="1">
        <v>-43.4</v>
      </c>
      <c r="G14" s="18">
        <f t="shared" si="0"/>
        <v>58.500000000000007</v>
      </c>
      <c r="H14" s="19">
        <f t="shared" si="1"/>
        <v>1.7094017094017092E-2</v>
      </c>
      <c r="I14" s="7">
        <f t="shared" si="2"/>
        <v>4.5723731518857638E-3</v>
      </c>
      <c r="J14" s="8">
        <f t="shared" si="3"/>
        <v>2.0906596240085753E-5</v>
      </c>
      <c r="K14">
        <f t="shared" si="4"/>
        <v>0.54868477822629169</v>
      </c>
      <c r="L14" s="11">
        <f t="shared" si="5"/>
        <v>4.6431965922665706E-2</v>
      </c>
    </row>
    <row r="17" spans="3:8">
      <c r="C17" t="s">
        <v>12</v>
      </c>
      <c r="D17" s="7">
        <f>SUM(H7:H14)/8</f>
        <v>1.2521643942131329E-2</v>
      </c>
    </row>
    <row r="18" spans="3:8">
      <c r="C18" t="s">
        <v>13</v>
      </c>
      <c r="D18" s="9">
        <f>SUM(D7:D14)/8</f>
        <v>85</v>
      </c>
    </row>
    <row r="19" spans="3:8">
      <c r="C19" t="s">
        <v>14</v>
      </c>
      <c r="D19" s="7">
        <f>SUM(J7:J14)</f>
        <v>7.0799424802624403E-5</v>
      </c>
      <c r="G19" s="3" t="s">
        <v>43</v>
      </c>
      <c r="H19" s="21" t="s">
        <v>44</v>
      </c>
    </row>
    <row r="20" spans="3:8">
      <c r="C20" t="s">
        <v>15</v>
      </c>
      <c r="D20" s="10">
        <f>SUM(K7:K14)/$D$19</f>
        <v>7701.7950216993886</v>
      </c>
      <c r="G20" s="23">
        <f>1.5*((SUM(J7:J14)^2)/48)^0.5</f>
        <v>1.5328525113099701E-5</v>
      </c>
      <c r="H20" s="21">
        <f>(0.001 + G20^2)^0.5</f>
        <v>3.1622780316785594E-2</v>
      </c>
    </row>
    <row r="21" spans="3:8">
      <c r="C21" t="s">
        <v>16</v>
      </c>
      <c r="D21" s="10">
        <f>D18-D20*D17</f>
        <v>-11.43913497699937</v>
      </c>
    </row>
    <row r="22" spans="3:8">
      <c r="C22" t="s">
        <v>18</v>
      </c>
      <c r="D22">
        <f>1/6*SUM(L7:L14)</f>
        <v>5.7457195077575858E-2</v>
      </c>
    </row>
    <row r="23" spans="3:8">
      <c r="C23" t="s">
        <v>20</v>
      </c>
      <c r="D23">
        <f>(D22/D19)^0.5</f>
        <v>28.487697284743213</v>
      </c>
    </row>
    <row r="24" spans="3:8">
      <c r="C24" t="s">
        <v>21</v>
      </c>
      <c r="D24">
        <f>((1/6+D17^2/D19)*D22)^0.5</f>
        <v>0.36989217669962426</v>
      </c>
    </row>
  </sheetData>
  <mergeCells count="6"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legacyDrawing r:id="rId1"/>
  <oleObjects>
    <oleObject progId="Equation.DSMT4" shapeId="4107" r:id="rId2"/>
    <oleObject progId="Equation.DSMT4" shapeId="4108" r:id="rId3"/>
    <oleObject progId="Equation.DSMT4" shapeId="4109" r:id="rId4"/>
    <oleObject progId="Equation.DSMT4" shapeId="4110" r:id="rId5"/>
    <oleObject progId="Equation.DSMT4" shapeId="4111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C1:L24"/>
  <sheetViews>
    <sheetView workbookViewId="0">
      <selection activeCell="D5" sqref="D5:D6"/>
    </sheetView>
  </sheetViews>
  <sheetFormatPr defaultRowHeight="15"/>
  <cols>
    <col min="4" max="4" width="14.42578125" customWidth="1"/>
    <col min="5" max="5" width="12.7109375" customWidth="1"/>
    <col min="6" max="6" width="13.28515625" bestFit="1" customWidth="1"/>
    <col min="7" max="7" width="13.140625" bestFit="1" customWidth="1"/>
    <col min="8" max="8" width="15.28515625" customWidth="1"/>
    <col min="9" max="9" width="15.5703125" customWidth="1"/>
    <col min="10" max="10" width="19" customWidth="1"/>
    <col min="12" max="12" width="15.7109375" customWidth="1"/>
  </cols>
  <sheetData>
    <row r="1" spans="3:12">
      <c r="C1" t="s">
        <v>8</v>
      </c>
      <c r="D1" t="s">
        <v>6</v>
      </c>
      <c r="E1" t="s">
        <v>7</v>
      </c>
      <c r="F1" t="s">
        <v>5</v>
      </c>
    </row>
    <row r="2" spans="3:12">
      <c r="C2" s="3">
        <v>758.6</v>
      </c>
      <c r="D2" s="3">
        <v>13.55</v>
      </c>
      <c r="E2" s="3">
        <v>9.8190000000000008</v>
      </c>
      <c r="F2" s="4">
        <v>101.9</v>
      </c>
    </row>
    <row r="3" spans="3:12">
      <c r="C3" t="s">
        <v>4</v>
      </c>
      <c r="D3" t="s">
        <v>3</v>
      </c>
      <c r="E3" t="s">
        <v>2</v>
      </c>
    </row>
    <row r="4" spans="3:12" ht="15.75" thickBot="1">
      <c r="C4" s="4">
        <v>67</v>
      </c>
      <c r="D4" s="4">
        <v>65.900000000000006</v>
      </c>
      <c r="E4" s="4">
        <f>(C4+D4)/2</f>
        <v>66.45</v>
      </c>
    </row>
    <row r="5" spans="3:12">
      <c r="C5" s="27" t="s">
        <v>0</v>
      </c>
      <c r="D5" s="27" t="s">
        <v>1</v>
      </c>
      <c r="E5" s="27" t="s">
        <v>10</v>
      </c>
      <c r="F5" s="33" t="s">
        <v>11</v>
      </c>
      <c r="G5" s="27" t="s">
        <v>10</v>
      </c>
      <c r="H5" s="27" t="s">
        <v>9</v>
      </c>
      <c r="I5" t="s">
        <v>14</v>
      </c>
      <c r="J5" s="6" t="s">
        <v>17</v>
      </c>
      <c r="K5" t="s">
        <v>15</v>
      </c>
      <c r="L5" t="s">
        <v>19</v>
      </c>
    </row>
    <row r="6" spans="3:12" ht="15.75" thickBot="1">
      <c r="C6" s="28"/>
      <c r="D6" s="28"/>
      <c r="E6" s="28"/>
      <c r="F6" s="34"/>
      <c r="G6" s="28"/>
      <c r="H6" s="28"/>
      <c r="J6" s="8"/>
    </row>
    <row r="7" spans="3:12" ht="16.5" thickBot="1">
      <c r="C7" s="2">
        <v>1</v>
      </c>
      <c r="D7" s="1">
        <v>50</v>
      </c>
      <c r="E7" s="1">
        <v>30.6</v>
      </c>
      <c r="F7" s="1">
        <v>30.6</v>
      </c>
      <c r="G7" s="18">
        <f>$F$2+(E7+F7)/2</f>
        <v>132.5</v>
      </c>
      <c r="H7" s="19">
        <f>1/G7</f>
        <v>7.5471698113207548E-3</v>
      </c>
      <c r="I7" s="7">
        <f>(H7-$D$17)</f>
        <v>-3.6237177737292094E-3</v>
      </c>
      <c r="J7" s="8">
        <f>(H7-$D$17)^2</f>
        <v>1.3131330503640977E-5</v>
      </c>
      <c r="K7">
        <f>I7*D7</f>
        <v>-0.18118588868646046</v>
      </c>
      <c r="L7" s="11">
        <f>(D7-$D$20*H7-$D$21)^2</f>
        <v>79.157932092082618</v>
      </c>
    </row>
    <row r="8" spans="3:12" ht="16.5" thickBot="1">
      <c r="C8" s="2">
        <v>2</v>
      </c>
      <c r="D8" s="1">
        <v>60</v>
      </c>
      <c r="E8" s="1">
        <v>12.4</v>
      </c>
      <c r="F8" s="1">
        <v>12.3</v>
      </c>
      <c r="G8" s="18">
        <f t="shared" ref="G8:G14" si="0">$F$2+(E8+F8)/2</f>
        <v>114.25</v>
      </c>
      <c r="H8" s="19">
        <f t="shared" ref="H8:H14" si="1">1/G8</f>
        <v>8.7527352297592995E-3</v>
      </c>
      <c r="I8" s="7">
        <f t="shared" ref="I8:I14" si="2">(H8-$D$17)</f>
        <v>-2.4181523552906647E-3</v>
      </c>
      <c r="J8" s="8">
        <f t="shared" ref="J8:J14" si="3">(H8-$D$17)^2</f>
        <v>5.8474608133977891E-6</v>
      </c>
      <c r="K8">
        <f t="shared" ref="K8:K14" si="4">I8*D8</f>
        <v>-0.14508914131743988</v>
      </c>
      <c r="L8" s="11">
        <f t="shared" ref="L8:L14" si="5">(D8-$D$20*H8-$D$21)^2</f>
        <v>57.4744429359517</v>
      </c>
    </row>
    <row r="9" spans="3:12" ht="16.5" thickBot="1">
      <c r="C9" s="2">
        <v>3</v>
      </c>
      <c r="D9" s="1">
        <v>70</v>
      </c>
      <c r="E9" s="1">
        <v>-2</v>
      </c>
      <c r="F9" s="1">
        <v>-1.6</v>
      </c>
      <c r="G9" s="18">
        <f t="shared" si="0"/>
        <v>100.10000000000001</v>
      </c>
      <c r="H9" s="19">
        <f t="shared" si="1"/>
        <v>9.99000999000999E-3</v>
      </c>
      <c r="I9" s="7">
        <f t="shared" si="2"/>
        <v>-1.1808775950399742E-3</v>
      </c>
      <c r="J9" s="8">
        <f t="shared" si="3"/>
        <v>1.3944718944673933E-6</v>
      </c>
      <c r="K9">
        <f t="shared" si="4"/>
        <v>-8.2661431652798198E-2</v>
      </c>
      <c r="L9" s="11">
        <f t="shared" si="5"/>
        <v>42.168392148705614</v>
      </c>
    </row>
    <row r="10" spans="3:12" ht="16.5" thickBot="1">
      <c r="C10" s="2">
        <v>4</v>
      </c>
      <c r="D10" s="1">
        <v>80</v>
      </c>
      <c r="E10" s="1">
        <v>-13.3</v>
      </c>
      <c r="F10" s="1">
        <v>-12.8</v>
      </c>
      <c r="G10" s="18">
        <f t="shared" si="0"/>
        <v>88.850000000000009</v>
      </c>
      <c r="H10" s="19">
        <f t="shared" si="1"/>
        <v>1.1254924029262802E-2</v>
      </c>
      <c r="I10" s="7">
        <f t="shared" si="2"/>
        <v>8.4036444212837527E-5</v>
      </c>
      <c r="J10" s="8">
        <f t="shared" si="3"/>
        <v>7.062123955937354E-9</v>
      </c>
      <c r="K10">
        <f t="shared" si="4"/>
        <v>6.7229155370270022E-3</v>
      </c>
      <c r="L10" s="11">
        <f t="shared" si="5"/>
        <v>31.419885202790702</v>
      </c>
    </row>
    <row r="11" spans="3:12" ht="16.5" thickBot="1">
      <c r="C11" s="2">
        <v>5</v>
      </c>
      <c r="D11" s="1">
        <v>90</v>
      </c>
      <c r="E11" s="1">
        <v>-22.2</v>
      </c>
      <c r="F11" s="1">
        <v>-20.8</v>
      </c>
      <c r="G11" s="18">
        <f t="shared" si="0"/>
        <v>80.400000000000006</v>
      </c>
      <c r="H11" s="19">
        <f t="shared" si="1"/>
        <v>1.2437810945273631E-2</v>
      </c>
      <c r="I11" s="7">
        <f t="shared" si="2"/>
        <v>1.2669233602236665E-3</v>
      </c>
      <c r="J11" s="8">
        <f t="shared" si="3"/>
        <v>1.6050948006804263E-6</v>
      </c>
      <c r="K11">
        <f t="shared" si="4"/>
        <v>0.11402310242012999</v>
      </c>
      <c r="L11" s="11">
        <f t="shared" si="5"/>
        <v>17.024690948665373</v>
      </c>
    </row>
    <row r="12" spans="3:12" ht="16.5" thickBot="1">
      <c r="C12" s="2">
        <v>6</v>
      </c>
      <c r="D12" s="1">
        <v>100</v>
      </c>
      <c r="E12" s="1">
        <v>-29.4</v>
      </c>
      <c r="F12" s="1">
        <v>-28.8</v>
      </c>
      <c r="G12" s="18">
        <f t="shared" si="0"/>
        <v>72.800000000000011</v>
      </c>
      <c r="H12" s="19">
        <f t="shared" si="1"/>
        <v>1.3736263736263734E-2</v>
      </c>
      <c r="I12" s="7">
        <f t="shared" si="2"/>
        <v>2.5653761512137701E-3</v>
      </c>
      <c r="J12" s="8">
        <f t="shared" si="3"/>
        <v>6.5811547972163763E-6</v>
      </c>
      <c r="K12">
        <f t="shared" si="4"/>
        <v>0.25653761512137702</v>
      </c>
      <c r="L12" s="11">
        <f t="shared" si="5"/>
        <v>12.105634237969166</v>
      </c>
    </row>
    <row r="13" spans="3:12" ht="16.5" thickBot="1">
      <c r="C13" s="2">
        <v>7</v>
      </c>
      <c r="D13" s="1">
        <v>110</v>
      </c>
      <c r="E13" s="1">
        <v>-33.6</v>
      </c>
      <c r="F13" s="1">
        <v>34.4</v>
      </c>
      <c r="G13" s="18">
        <f t="shared" si="0"/>
        <v>102.30000000000001</v>
      </c>
      <c r="H13" s="19">
        <f t="shared" si="1"/>
        <v>9.7751710654936444E-3</v>
      </c>
      <c r="I13" s="7">
        <f t="shared" si="2"/>
        <v>-1.3957165195563198E-3</v>
      </c>
      <c r="J13" s="8">
        <f t="shared" si="3"/>
        <v>1.9480246029624068E-6</v>
      </c>
      <c r="K13">
        <f t="shared" si="4"/>
        <v>-0.15352881715119518</v>
      </c>
      <c r="L13" s="11">
        <f t="shared" si="5"/>
        <v>1228.771811502658</v>
      </c>
    </row>
    <row r="14" spans="3:12" ht="16.5" thickBot="1">
      <c r="C14" s="2">
        <v>8</v>
      </c>
      <c r="D14" s="1">
        <v>120</v>
      </c>
      <c r="E14" s="1">
        <v>-38.9</v>
      </c>
      <c r="F14" s="1">
        <v>-38.9</v>
      </c>
      <c r="G14" s="18">
        <f t="shared" si="0"/>
        <v>63.000000000000007</v>
      </c>
      <c r="H14" s="19">
        <f t="shared" si="1"/>
        <v>1.5873015873015872E-2</v>
      </c>
      <c r="I14" s="7">
        <f t="shared" si="2"/>
        <v>4.7021282879659079E-3</v>
      </c>
      <c r="J14" s="8">
        <f t="shared" si="3"/>
        <v>2.2110010436489201E-5</v>
      </c>
      <c r="K14">
        <f t="shared" si="4"/>
        <v>0.56425539455590901</v>
      </c>
      <c r="L14" s="11">
        <f t="shared" si="5"/>
        <v>1.2744164656879728</v>
      </c>
    </row>
    <row r="17" spans="3:8">
      <c r="C17" t="s">
        <v>12</v>
      </c>
      <c r="D17" s="7">
        <f>SUM(H7:H14)/8</f>
        <v>1.1170887585049964E-2</v>
      </c>
    </row>
    <row r="18" spans="3:8">
      <c r="C18" t="s">
        <v>13</v>
      </c>
      <c r="D18" s="9">
        <f>SUM(D7:D14)/8</f>
        <v>85</v>
      </c>
    </row>
    <row r="19" spans="3:8">
      <c r="C19" t="s">
        <v>14</v>
      </c>
      <c r="D19" s="7">
        <f>SUM(J7:J14)</f>
        <v>5.2624609972810505E-5</v>
      </c>
      <c r="G19" s="3" t="s">
        <v>43</v>
      </c>
      <c r="H19" s="21" t="s">
        <v>44</v>
      </c>
    </row>
    <row r="20" spans="3:8">
      <c r="C20" t="s">
        <v>15</v>
      </c>
      <c r="D20" s="10">
        <f>SUM(K7:K14)/$D$19</f>
        <v>7203.3550276649066</v>
      </c>
      <c r="G20" s="23">
        <f>1.5*((SUM(J7:J14)^2)/48)^0.5</f>
        <v>1.1393562275175455E-5</v>
      </c>
      <c r="H20" s="21">
        <f>(0.001 + G20^2)^0.5</f>
        <v>3.1622778654211606E-2</v>
      </c>
    </row>
    <row r="21" spans="3:8">
      <c r="C21" t="s">
        <v>16</v>
      </c>
      <c r="D21" s="10">
        <f>D18-D20*D17</f>
        <v>4.5321307507508521</v>
      </c>
    </row>
    <row r="22" spans="3:8">
      <c r="C22" t="s">
        <v>18</v>
      </c>
      <c r="D22">
        <f>1/6*SUM(L7:L14)</f>
        <v>244.89953425575186</v>
      </c>
    </row>
    <row r="23" spans="3:8">
      <c r="C23" t="s">
        <v>20</v>
      </c>
      <c r="D23">
        <f>(D22/D19)^0.5</f>
        <v>2157.2453153625556</v>
      </c>
    </row>
    <row r="24" spans="3:8">
      <c r="C24" t="s">
        <v>21</v>
      </c>
      <c r="D24">
        <f>((1/6+D17^2/D19)*D22)^0.5</f>
        <v>24.930840669864281</v>
      </c>
    </row>
  </sheetData>
  <mergeCells count="6"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legacyDrawing r:id="rId1"/>
  <oleObjects>
    <oleObject progId="Equation.DSMT4" shapeId="5126" r:id="rId2"/>
    <oleObject progId="Equation.DSMT4" shapeId="5127" r:id="rId3"/>
    <oleObject progId="Equation.DSMT4" shapeId="5128" r:id="rId4"/>
    <oleObject progId="Equation.DSMT4" shapeId="5129" r:id="rId5"/>
    <oleObject progId="Equation.DSMT4" shapeId="5130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C1:L24"/>
  <sheetViews>
    <sheetView workbookViewId="0">
      <selection activeCell="C5" sqref="C5:H14"/>
    </sheetView>
  </sheetViews>
  <sheetFormatPr defaultRowHeight="15"/>
  <cols>
    <col min="4" max="4" width="14" customWidth="1"/>
    <col min="5" max="5" width="12.7109375" customWidth="1"/>
    <col min="6" max="6" width="13.28515625" bestFit="1" customWidth="1"/>
    <col min="7" max="7" width="13.140625" bestFit="1" customWidth="1"/>
    <col min="8" max="8" width="15.28515625" customWidth="1"/>
    <col min="9" max="9" width="15.5703125" customWidth="1"/>
    <col min="10" max="10" width="19" customWidth="1"/>
    <col min="12" max="12" width="19.28515625" customWidth="1"/>
  </cols>
  <sheetData>
    <row r="1" spans="3:12">
      <c r="C1" t="s">
        <v>8</v>
      </c>
      <c r="D1" t="s">
        <v>6</v>
      </c>
      <c r="E1" t="s">
        <v>7</v>
      </c>
      <c r="F1" t="s">
        <v>5</v>
      </c>
    </row>
    <row r="2" spans="3:12">
      <c r="C2" s="3">
        <v>758.6</v>
      </c>
      <c r="D2" s="3">
        <v>13.55</v>
      </c>
      <c r="E2" s="3">
        <v>9.8190000000000008</v>
      </c>
      <c r="F2" s="4">
        <f>C2*D2*E2/1000</f>
        <v>100.92979557000001</v>
      </c>
    </row>
    <row r="3" spans="3:12">
      <c r="C3" t="s">
        <v>4</v>
      </c>
      <c r="D3" t="s">
        <v>3</v>
      </c>
      <c r="E3" t="s">
        <v>2</v>
      </c>
    </row>
    <row r="4" spans="3:12" ht="15.75" thickBot="1">
      <c r="C4" s="4">
        <v>66.599999999999994</v>
      </c>
      <c r="D4" s="4">
        <v>66.599999999999994</v>
      </c>
      <c r="E4" s="4">
        <f>(C4+D4)/2</f>
        <v>66.599999999999994</v>
      </c>
    </row>
    <row r="5" spans="3:12">
      <c r="C5" s="27" t="s">
        <v>0</v>
      </c>
      <c r="D5" s="27" t="s">
        <v>1</v>
      </c>
      <c r="E5" s="27" t="s">
        <v>10</v>
      </c>
      <c r="F5" s="33" t="s">
        <v>11</v>
      </c>
      <c r="G5" s="27" t="s">
        <v>10</v>
      </c>
      <c r="H5" s="27" t="s">
        <v>9</v>
      </c>
      <c r="I5" t="s">
        <v>14</v>
      </c>
      <c r="J5" s="6" t="s">
        <v>17</v>
      </c>
      <c r="K5" t="s">
        <v>15</v>
      </c>
      <c r="L5" t="s">
        <v>19</v>
      </c>
    </row>
    <row r="6" spans="3:12" ht="15.75" thickBot="1">
      <c r="C6" s="28"/>
      <c r="D6" s="28"/>
      <c r="E6" s="28"/>
      <c r="F6" s="34"/>
      <c r="G6" s="28"/>
      <c r="H6" s="28"/>
      <c r="J6" s="8"/>
    </row>
    <row r="7" spans="3:12" ht="16.5" thickBot="1">
      <c r="C7" s="2">
        <v>1</v>
      </c>
      <c r="D7" s="1">
        <v>50</v>
      </c>
      <c r="E7" s="1">
        <v>93</v>
      </c>
      <c r="F7" s="1">
        <v>93</v>
      </c>
      <c r="G7" s="18">
        <f>$F$2+(E7+F7)/2</f>
        <v>193.92979557000001</v>
      </c>
      <c r="H7" s="19">
        <f>1/G7</f>
        <v>5.1565052036526516E-3</v>
      </c>
      <c r="I7" s="7">
        <f>(H7-$D$17)</f>
        <v>-2.978437043029805E-3</v>
      </c>
      <c r="J7" s="8">
        <f>(H7-$D$17)^2</f>
        <v>8.8710872192921289E-6</v>
      </c>
      <c r="K7">
        <f>I7*D7</f>
        <v>-0.14892185215149026</v>
      </c>
      <c r="L7" s="11">
        <f>(D7-$D$20*H7-$D$21)^2</f>
        <v>0.12850183152058248</v>
      </c>
    </row>
    <row r="8" spans="3:12" ht="16.5" thickBot="1">
      <c r="C8" s="2">
        <v>2</v>
      </c>
      <c r="D8" s="1">
        <v>60</v>
      </c>
      <c r="E8" s="1">
        <v>67.3</v>
      </c>
      <c r="F8" s="1">
        <v>65.8</v>
      </c>
      <c r="G8" s="18">
        <f>$F$2+(E8+F8)/2</f>
        <v>167.47979557000002</v>
      </c>
      <c r="H8" s="19">
        <f t="shared" ref="H8:H14" si="0">1/G8</f>
        <v>5.9708694806833518E-3</v>
      </c>
      <c r="I8" s="7">
        <f t="shared" ref="I8:I14" si="1">(H8-$D$17)</f>
        <v>-2.1640727659991048E-3</v>
      </c>
      <c r="J8" s="8">
        <f t="shared" ref="J8:J14" si="2">(H8-$D$17)^2</f>
        <v>4.6832109365390164E-6</v>
      </c>
      <c r="K8">
        <f t="shared" ref="K8:K14" si="3">I8*D8</f>
        <v>-0.12984436595994628</v>
      </c>
      <c r="L8" s="11">
        <f t="shared" ref="L8:L14" si="4">(D8-$D$20*H8-$D$21)^2</f>
        <v>2.8846142277246519E-2</v>
      </c>
    </row>
    <row r="9" spans="3:12" ht="16.5" thickBot="1">
      <c r="C9" s="2">
        <v>3</v>
      </c>
      <c r="D9" s="1">
        <v>70</v>
      </c>
      <c r="E9" s="1">
        <v>45</v>
      </c>
      <c r="F9" s="1">
        <v>45.6</v>
      </c>
      <c r="G9" s="18">
        <f t="shared" ref="G9:G14" si="5">$F$2+(E9+F9)/2</f>
        <v>146.22979557000002</v>
      </c>
      <c r="H9" s="19">
        <f t="shared" si="0"/>
        <v>6.8385515831573549E-3</v>
      </c>
      <c r="I9" s="7">
        <f t="shared" si="1"/>
        <v>-1.2963906635251017E-3</v>
      </c>
      <c r="J9" s="8">
        <f t="shared" si="2"/>
        <v>1.6806287524750535E-6</v>
      </c>
      <c r="K9">
        <f t="shared" si="3"/>
        <v>-9.0747346446757124E-2</v>
      </c>
      <c r="L9" s="11">
        <f t="shared" si="4"/>
        <v>6.0882094561798758E-3</v>
      </c>
    </row>
    <row r="10" spans="3:12" ht="16.5" thickBot="1">
      <c r="C10" s="2">
        <v>4</v>
      </c>
      <c r="D10" s="1">
        <v>80</v>
      </c>
      <c r="E10" s="1">
        <v>29.8</v>
      </c>
      <c r="F10" s="1">
        <v>28.2</v>
      </c>
      <c r="G10" s="18">
        <f t="shared" si="5"/>
        <v>129.92979557000001</v>
      </c>
      <c r="H10" s="19">
        <f t="shared" si="0"/>
        <v>7.6964640451638935E-3</v>
      </c>
      <c r="I10" s="7">
        <f t="shared" si="1"/>
        <v>-4.3847820151856308E-4</v>
      </c>
      <c r="J10" s="8">
        <f t="shared" si="2"/>
        <v>1.9226313320695361E-7</v>
      </c>
      <c r="K10">
        <f t="shared" si="3"/>
        <v>-3.5078256121485046E-2</v>
      </c>
      <c r="L10" s="11">
        <f t="shared" si="4"/>
        <v>9.9682090078075675E-3</v>
      </c>
    </row>
    <row r="11" spans="3:12" ht="16.5" thickBot="1">
      <c r="C11" s="2">
        <v>5</v>
      </c>
      <c r="D11" s="1">
        <v>90</v>
      </c>
      <c r="E11" s="1">
        <v>17.3</v>
      </c>
      <c r="F11" s="1">
        <v>16.100000000000001</v>
      </c>
      <c r="G11" s="18">
        <f t="shared" si="5"/>
        <v>117.62979557000001</v>
      </c>
      <c r="H11" s="19">
        <f t="shared" si="0"/>
        <v>8.5012474531158434E-3</v>
      </c>
      <c r="I11" s="7">
        <f t="shared" si="1"/>
        <v>3.6630520643338681E-4</v>
      </c>
      <c r="J11" s="8">
        <f t="shared" si="2"/>
        <v>1.3417950426020611E-7</v>
      </c>
      <c r="K11">
        <f t="shared" si="3"/>
        <v>3.2967468579004816E-2</v>
      </c>
      <c r="L11" s="11">
        <f t="shared" si="4"/>
        <v>0.54698876033280686</v>
      </c>
    </row>
    <row r="12" spans="3:12" ht="16.5" thickBot="1">
      <c r="C12" s="2">
        <v>6</v>
      </c>
      <c r="D12" s="1">
        <v>100</v>
      </c>
      <c r="E12" s="1">
        <v>4.5999999999999996</v>
      </c>
      <c r="F12" s="1">
        <v>3.9</v>
      </c>
      <c r="G12" s="18">
        <f t="shared" si="5"/>
        <v>105.17979557000001</v>
      </c>
      <c r="H12" s="19">
        <f t="shared" si="0"/>
        <v>9.5075294126662647E-3</v>
      </c>
      <c r="I12" s="7">
        <f t="shared" si="1"/>
        <v>1.3725871659838081E-3</v>
      </c>
      <c r="J12" s="8">
        <f t="shared" si="2"/>
        <v>1.8839955282234619E-6</v>
      </c>
      <c r="K12">
        <f t="shared" si="3"/>
        <v>0.13725871659838079</v>
      </c>
      <c r="L12" s="11">
        <f t="shared" si="4"/>
        <v>0.92978054617037964</v>
      </c>
    </row>
    <row r="13" spans="3:12" ht="16.5" thickBot="1">
      <c r="C13" s="2">
        <v>7</v>
      </c>
      <c r="D13" s="1">
        <v>110</v>
      </c>
      <c r="E13" s="1">
        <v>-3</v>
      </c>
      <c r="F13" s="1">
        <v>-4</v>
      </c>
      <c r="G13" s="18">
        <f t="shared" si="5"/>
        <v>97.42979557000001</v>
      </c>
      <c r="H13" s="19">
        <f t="shared" si="0"/>
        <v>1.0263800659229895E-2</v>
      </c>
      <c r="I13" s="7">
        <f t="shared" si="1"/>
        <v>2.128858412547438E-3</v>
      </c>
      <c r="J13" s="8">
        <f t="shared" si="2"/>
        <v>4.5320381406739975E-6</v>
      </c>
      <c r="K13">
        <f t="shared" si="3"/>
        <v>0.23417442538021818</v>
      </c>
      <c r="L13" s="11">
        <f t="shared" si="4"/>
        <v>5.746983508684244E-2</v>
      </c>
    </row>
    <row r="14" spans="3:12" ht="16.5" thickBot="1">
      <c r="C14" s="2">
        <v>8</v>
      </c>
      <c r="D14" s="1">
        <v>120</v>
      </c>
      <c r="E14" s="1">
        <v>-11.2</v>
      </c>
      <c r="F14" s="1">
        <v>-11.2</v>
      </c>
      <c r="G14" s="18">
        <f t="shared" si="5"/>
        <v>89.729795570000007</v>
      </c>
      <c r="H14" s="19">
        <f t="shared" si="0"/>
        <v>1.1144570135790403E-2</v>
      </c>
      <c r="I14" s="7">
        <f t="shared" si="1"/>
        <v>3.0096278891079461E-3</v>
      </c>
      <c r="J14" s="8">
        <f t="shared" si="2"/>
        <v>9.0578600308963508E-6</v>
      </c>
      <c r="K14">
        <f t="shared" si="3"/>
        <v>0.36115534669295352</v>
      </c>
      <c r="L14" s="11">
        <f t="shared" si="4"/>
        <v>1.8508616294107246E-5</v>
      </c>
    </row>
    <row r="17" spans="3:8">
      <c r="C17" t="s">
        <v>12</v>
      </c>
      <c r="D17" s="7">
        <f>SUM(H7:H14)/8</f>
        <v>8.1349422466824566E-3</v>
      </c>
    </row>
    <row r="18" spans="3:8">
      <c r="C18" t="s">
        <v>13</v>
      </c>
      <c r="D18" s="9">
        <f>SUM(D7:D14)/8</f>
        <v>85</v>
      </c>
    </row>
    <row r="19" spans="3:8">
      <c r="C19" t="s">
        <v>14</v>
      </c>
      <c r="D19" s="7">
        <f>SUM(J7:J14)</f>
        <v>3.1035263245567167E-5</v>
      </c>
      <c r="G19" s="3" t="s">
        <v>43</v>
      </c>
      <c r="H19" s="21" t="s">
        <v>44</v>
      </c>
    </row>
    <row r="20" spans="3:8">
      <c r="C20" t="s">
        <v>15</v>
      </c>
      <c r="D20" s="10">
        <f>SUM(K7:K14)/$D$19</f>
        <v>11630.774120223898</v>
      </c>
      <c r="G20" s="23">
        <f>1.5*((SUM(J7:J14)^2)/48)^0.5</f>
        <v>6.7193315959496643E-6</v>
      </c>
      <c r="H20" s="21">
        <f>(0.001 + G20^2)^0.5</f>
        <v>3.162277731555875E-2</v>
      </c>
    </row>
    <row r="21" spans="3:8">
      <c r="C21" t="s">
        <v>16</v>
      </c>
      <c r="D21" s="10">
        <f>D18-D20*D17</f>
        <v>-9.6156757522303735</v>
      </c>
    </row>
    <row r="22" spans="3:8">
      <c r="C22" t="s">
        <v>18</v>
      </c>
      <c r="D22">
        <f>1/6*SUM(L7:L14)</f>
        <v>0.28461034041135652</v>
      </c>
    </row>
    <row r="23" spans="3:8">
      <c r="C23" t="s">
        <v>20</v>
      </c>
      <c r="D23">
        <f>(D22/D19)^0.5</f>
        <v>95.76297303849681</v>
      </c>
    </row>
    <row r="24" spans="3:8">
      <c r="C24" t="s">
        <v>21</v>
      </c>
      <c r="D24">
        <f>((1/6+D17^2/D19)*D22)^0.5</f>
        <v>0.80889861093648419</v>
      </c>
    </row>
  </sheetData>
  <mergeCells count="6"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legacyDrawing r:id="rId1"/>
  <oleObjects>
    <oleObject progId="Equation.DSMT4" shapeId="6150" r:id="rId2"/>
    <oleObject progId="Equation.DSMT4" shapeId="6151" r:id="rId3"/>
    <oleObject progId="Equation.DSMT4" shapeId="6152" r:id="rId4"/>
    <oleObject progId="Equation.DSMT4" shapeId="6153" r:id="rId5"/>
    <oleObject progId="Equation.DSMT4" shapeId="6154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zoomScale="85" zoomScaleNormal="85" workbookViewId="0">
      <selection activeCell="E33" sqref="E33"/>
    </sheetView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C2" sqref="C2"/>
    </sheetView>
  </sheetViews>
  <sheetFormatPr defaultRowHeight="15"/>
  <cols>
    <col min="2" max="2" width="16" customWidth="1"/>
    <col min="3" max="3" width="17.28515625" customWidth="1"/>
    <col min="4" max="4" width="13.140625" customWidth="1"/>
    <col min="6" max="6" width="13.28515625" bestFit="1" customWidth="1"/>
    <col min="7" max="7" width="16.5703125" customWidth="1"/>
  </cols>
  <sheetData>
    <row r="1" spans="1:7">
      <c r="A1" s="24" t="s">
        <v>0</v>
      </c>
      <c r="B1" s="24" t="s">
        <v>23</v>
      </c>
      <c r="C1" s="24" t="s">
        <v>22</v>
      </c>
      <c r="D1" t="s">
        <v>14</v>
      </c>
      <c r="E1" t="s">
        <v>17</v>
      </c>
      <c r="F1" t="s">
        <v>15</v>
      </c>
      <c r="G1" t="s">
        <v>25</v>
      </c>
    </row>
    <row r="2" spans="1:7">
      <c r="A2">
        <v>1</v>
      </c>
      <c r="B2" s="12">
        <f>'1.1'!$E$4</f>
        <v>5.4499999999999993</v>
      </c>
      <c r="C2" s="25">
        <f>'1.1'!$D$20</f>
        <v>6858.492200216464</v>
      </c>
      <c r="D2" s="12">
        <f>B2-$B$10</f>
        <v>-35.125</v>
      </c>
      <c r="E2">
        <f>(B2-$B$10)^2</f>
        <v>1233.765625</v>
      </c>
      <c r="F2" s="12">
        <f>D2*C2</f>
        <v>-240904.5385326033</v>
      </c>
      <c r="G2">
        <f>(C2-$B$13*B2-$B$14)^2</f>
        <v>144110.58450238037</v>
      </c>
    </row>
    <row r="3" spans="1:7">
      <c r="A3">
        <v>2</v>
      </c>
      <c r="B3" s="12">
        <f>'1.2'!$E$4</f>
        <v>22.4</v>
      </c>
      <c r="C3" s="25">
        <f>'1.2'!$D$20</f>
        <v>7445.005078419953</v>
      </c>
      <c r="D3" s="12">
        <f t="shared" ref="D3:D7" si="0">B3-$B$10</f>
        <v>-18.174999999999997</v>
      </c>
      <c r="E3">
        <f t="shared" ref="E3:E7" si="1">(B3-$B$10)^2</f>
        <v>330.33062499999988</v>
      </c>
      <c r="F3" s="12">
        <f t="shared" ref="F3:F7" si="2">D3*C3</f>
        <v>-135312.96730028262</v>
      </c>
      <c r="G3">
        <f t="shared" ref="G3:G7" si="3">(C3-$B$13*B3-$B$14)^2</f>
        <v>59759.471108846759</v>
      </c>
    </row>
    <row r="4" spans="1:7">
      <c r="A4">
        <v>3</v>
      </c>
      <c r="B4" s="12">
        <f>'1.3'!$E$4</f>
        <v>34.549999999999997</v>
      </c>
      <c r="C4" s="25">
        <f>'1.3'!$D$20</f>
        <v>7006.8486872786707</v>
      </c>
      <c r="D4" s="12">
        <f t="shared" si="0"/>
        <v>-6.0249999999999986</v>
      </c>
      <c r="E4">
        <f t="shared" si="1"/>
        <v>36.300624999999982</v>
      </c>
      <c r="F4" s="12">
        <f t="shared" si="2"/>
        <v>-42216.263340853984</v>
      </c>
      <c r="G4">
        <f t="shared" si="3"/>
        <v>505528.5321974206</v>
      </c>
    </row>
    <row r="5" spans="1:7">
      <c r="A5">
        <v>4</v>
      </c>
      <c r="B5" s="12">
        <f>'1.4'!$E$4</f>
        <v>48</v>
      </c>
      <c r="C5" s="25">
        <f>'1.4'!$D$20</f>
        <v>7701.7950216993886</v>
      </c>
      <c r="D5" s="12">
        <f t="shared" si="0"/>
        <v>7.4250000000000043</v>
      </c>
      <c r="E5">
        <f t="shared" si="1"/>
        <v>55.130625000000066</v>
      </c>
      <c r="F5" s="12">
        <f t="shared" si="2"/>
        <v>57185.828036117993</v>
      </c>
      <c r="G5">
        <f t="shared" si="3"/>
        <v>346585.38521671365</v>
      </c>
    </row>
    <row r="6" spans="1:7">
      <c r="A6">
        <v>5</v>
      </c>
      <c r="B6" s="12">
        <f>'1.5'!$E$4</f>
        <v>66.45</v>
      </c>
      <c r="C6" s="25">
        <f>'1.5'!$D$20</f>
        <v>7203.3550276649066</v>
      </c>
      <c r="D6" s="12">
        <f t="shared" si="0"/>
        <v>25.875000000000007</v>
      </c>
      <c r="E6">
        <f t="shared" si="1"/>
        <v>669.51562500000034</v>
      </c>
      <c r="F6" s="12">
        <f t="shared" si="2"/>
        <v>186386.8113408295</v>
      </c>
      <c r="G6">
        <f t="shared" si="3"/>
        <v>3506984.2610018658</v>
      </c>
    </row>
    <row r="7" spans="1:7">
      <c r="A7">
        <v>6</v>
      </c>
      <c r="B7" s="12">
        <f>'1.6'!$E$4</f>
        <v>66.599999999999994</v>
      </c>
      <c r="C7" s="25">
        <f>'1.6'!$D$20</f>
        <v>11630.774120223898</v>
      </c>
      <c r="D7" s="12">
        <f t="shared" si="0"/>
        <v>26.024999999999999</v>
      </c>
      <c r="E7">
        <f t="shared" si="1"/>
        <v>677.30062499999997</v>
      </c>
      <c r="F7" s="12">
        <f t="shared" si="2"/>
        <v>302690.89647882694</v>
      </c>
      <c r="G7">
        <f t="shared" si="3"/>
        <v>6494027.6239105081</v>
      </c>
    </row>
    <row r="10" spans="1:7">
      <c r="A10" t="s">
        <v>12</v>
      </c>
      <c r="B10" s="12">
        <f>SUM(B2:B7)/6</f>
        <v>40.574999999999996</v>
      </c>
    </row>
    <row r="11" spans="1:7">
      <c r="A11" t="s">
        <v>13</v>
      </c>
      <c r="B11">
        <f>SUM(C2:C7)/6</f>
        <v>7974.3783559172125</v>
      </c>
      <c r="D11" t="s">
        <v>2</v>
      </c>
      <c r="E11" t="s">
        <v>24</v>
      </c>
    </row>
    <row r="12" spans="1:7">
      <c r="A12" t="s">
        <v>14</v>
      </c>
      <c r="B12">
        <f>SUM(E2:E7)</f>
        <v>3002.34375</v>
      </c>
      <c r="D12" s="12">
        <f>-B14/B13</f>
        <v>-146.71959998606218</v>
      </c>
      <c r="E12">
        <f>D12*((B16/B13)^2+(B17/B14)^2)^0.5</f>
        <v>-109.6520514053216</v>
      </c>
    </row>
    <row r="13" spans="1:7">
      <c r="A13" t="s">
        <v>15</v>
      </c>
      <c r="B13" s="12">
        <f>SUM(F2:F7)/B12</f>
        <v>42.576659212335215</v>
      </c>
    </row>
    <row r="14" spans="1:7">
      <c r="A14" t="s">
        <v>16</v>
      </c>
      <c r="B14">
        <f>B11-B13*B10</f>
        <v>6246.8304083767116</v>
      </c>
    </row>
    <row r="15" spans="1:7">
      <c r="A15" t="s">
        <v>18</v>
      </c>
      <c r="B15">
        <f>1/4*SUM(G2:G7)</f>
        <v>2764248.9644844336</v>
      </c>
    </row>
    <row r="16" spans="1:7">
      <c r="A16" t="s">
        <v>20</v>
      </c>
      <c r="B16">
        <f>(B15/B12)^0.5</f>
        <v>30.342989749570037</v>
      </c>
    </row>
    <row r="17" spans="1:2">
      <c r="A17" t="s">
        <v>21</v>
      </c>
      <c r="B17">
        <f>((1/6 +B10^2/B12)*B15)^0.5</f>
        <v>1405.8733486873252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Normal="100" workbookViewId="0">
      <selection activeCell="B15" sqref="B15"/>
    </sheetView>
  </sheetViews>
  <sheetFormatPr defaultColWidth="10.7109375" defaultRowHeight="15"/>
  <cols>
    <col min="1" max="1" width="13.140625" customWidth="1"/>
    <col min="2" max="2" width="11.85546875" customWidth="1"/>
    <col min="3" max="3" width="14.7109375" bestFit="1" customWidth="1"/>
    <col min="4" max="4" width="15.85546875" customWidth="1"/>
    <col min="5" max="9" width="13.140625" bestFit="1" customWidth="1"/>
    <col min="10" max="10" width="9.5703125" customWidth="1"/>
    <col min="11" max="11" width="11.28515625" bestFit="1" customWidth="1"/>
    <col min="12" max="12" width="11" customWidth="1"/>
    <col min="13" max="13" width="13.85546875" customWidth="1"/>
    <col min="14" max="14" width="11.28515625" bestFit="1" customWidth="1"/>
    <col min="15" max="15" width="11.7109375" customWidth="1"/>
    <col min="16" max="16" width="12.140625" customWidth="1"/>
    <col min="17" max="17" width="10.85546875" customWidth="1"/>
    <col min="18" max="18" width="11" customWidth="1"/>
  </cols>
  <sheetData>
    <row r="1" spans="1:18" ht="16.5" thickBot="1">
      <c r="A1" s="13" t="s">
        <v>45</v>
      </c>
      <c r="B1" s="26">
        <v>50</v>
      </c>
      <c r="C1" s="14">
        <v>60</v>
      </c>
      <c r="D1" s="14">
        <v>70</v>
      </c>
      <c r="E1" s="14">
        <v>80</v>
      </c>
      <c r="F1" s="26">
        <v>90</v>
      </c>
      <c r="G1" s="14">
        <v>100</v>
      </c>
      <c r="H1" s="14">
        <v>110</v>
      </c>
      <c r="I1" s="26">
        <v>120</v>
      </c>
      <c r="J1" t="s">
        <v>15</v>
      </c>
      <c r="K1">
        <v>50</v>
      </c>
      <c r="L1">
        <v>60</v>
      </c>
      <c r="M1">
        <v>70</v>
      </c>
      <c r="N1">
        <v>80</v>
      </c>
      <c r="O1">
        <v>90</v>
      </c>
      <c r="P1">
        <v>100</v>
      </c>
      <c r="Q1">
        <v>110</v>
      </c>
      <c r="R1">
        <v>120</v>
      </c>
    </row>
    <row r="2" spans="1:18" ht="16.5" thickBot="1">
      <c r="A2" s="5" t="s">
        <v>26</v>
      </c>
      <c r="B2" s="35" t="s">
        <v>27</v>
      </c>
      <c r="C2" s="36"/>
      <c r="D2" s="36"/>
      <c r="E2" s="36"/>
      <c r="F2" s="36"/>
      <c r="G2" s="36"/>
      <c r="H2" s="36"/>
      <c r="I2" s="36"/>
      <c r="J2" t="s">
        <v>32</v>
      </c>
      <c r="K2" t="s">
        <v>33</v>
      </c>
    </row>
    <row r="3" spans="1:18" ht="16.5" thickBot="1">
      <c r="A3" s="15">
        <f>'1.1'!E4</f>
        <v>5.4499999999999993</v>
      </c>
      <c r="B3" s="18">
        <f>'1.1'!G7</f>
        <v>95.9</v>
      </c>
      <c r="C3" s="18">
        <f>'1.1'!G8</f>
        <v>93.5</v>
      </c>
      <c r="D3" s="18">
        <f>'1.1'!G9</f>
        <v>81.25</v>
      </c>
      <c r="E3" s="18">
        <f>'1.1'!G10</f>
        <v>71.900000000000006</v>
      </c>
      <c r="F3" s="18">
        <f>'1.1'!G11</f>
        <v>64.650000000000006</v>
      </c>
      <c r="G3" s="18">
        <f>'1.1'!G12</f>
        <v>59.2</v>
      </c>
      <c r="H3" s="18">
        <f>'1.1'!G13</f>
        <v>54.100000000000009</v>
      </c>
      <c r="I3" s="18">
        <f>'1.1'!G14</f>
        <v>50.000000000000007</v>
      </c>
      <c r="J3" s="12">
        <f>A3-$B$14</f>
        <v>-24.024999999999999</v>
      </c>
      <c r="K3" s="12">
        <f>$J3*B3</f>
        <v>-2303.9974999999999</v>
      </c>
      <c r="L3" s="12">
        <f t="shared" ref="L3:R3" si="0">$J3*C3</f>
        <v>-2246.3375000000001</v>
      </c>
      <c r="M3" s="12">
        <f t="shared" si="0"/>
        <v>-1952.0312499999998</v>
      </c>
      <c r="N3" s="12">
        <f t="shared" si="0"/>
        <v>-1727.3975</v>
      </c>
      <c r="O3" s="12">
        <f t="shared" si="0"/>
        <v>-1553.2162499999999</v>
      </c>
      <c r="P3" s="12">
        <f t="shared" si="0"/>
        <v>-1422.28</v>
      </c>
      <c r="Q3" s="12">
        <f t="shared" si="0"/>
        <v>-1299.7525000000001</v>
      </c>
      <c r="R3" s="12">
        <f t="shared" si="0"/>
        <v>-1201.25</v>
      </c>
    </row>
    <row r="4" spans="1:18" ht="16.5" thickBot="1">
      <c r="A4" s="15">
        <f>'1.2'!E4</f>
        <v>22.4</v>
      </c>
      <c r="B4" s="18">
        <f>'1.2'!G7</f>
        <v>100.7</v>
      </c>
      <c r="C4" s="18">
        <f>'1.2'!G8</f>
        <v>98.7</v>
      </c>
      <c r="D4" s="18">
        <f>'1.2'!G9</f>
        <v>85.9</v>
      </c>
      <c r="E4" s="18">
        <f>'1.2'!G10</f>
        <v>76.300000000000011</v>
      </c>
      <c r="F4" s="18">
        <f>'1.2'!G11</f>
        <v>68.75</v>
      </c>
      <c r="G4" s="18">
        <f>'1.2'!G12</f>
        <v>63.900000000000006</v>
      </c>
      <c r="H4" s="18">
        <f>'1.2'!G13</f>
        <v>57.550000000000004</v>
      </c>
      <c r="I4" s="18">
        <f>'1.2'!G14</f>
        <v>53.300000000000004</v>
      </c>
      <c r="J4" s="12">
        <f t="shared" ref="J4:J8" si="1">A4-$B$14</f>
        <v>-7.0749999999999993</v>
      </c>
      <c r="K4" s="12">
        <f t="shared" ref="K4:K8" si="2">$J4*B4</f>
        <v>-712.45249999999999</v>
      </c>
      <c r="L4" s="12">
        <f t="shared" ref="L4:L8" si="3">$J4*C4</f>
        <v>-698.3024999999999</v>
      </c>
      <c r="M4" s="12">
        <f t="shared" ref="M4:M8" si="4">$J4*D4</f>
        <v>-607.74249999999995</v>
      </c>
      <c r="N4" s="12">
        <f t="shared" ref="N4:N8" si="5">$J4*E4</f>
        <v>-539.82249999999999</v>
      </c>
      <c r="O4" s="12">
        <f t="shared" ref="O4:O8" si="6">$J4*F4</f>
        <v>-486.40624999999994</v>
      </c>
      <c r="P4" s="12">
        <f t="shared" ref="P4:P8" si="7">$J4*G4</f>
        <v>-452.09249999999997</v>
      </c>
      <c r="Q4" s="12">
        <f t="shared" ref="Q4:Q8" si="8">$J4*H4</f>
        <v>-407.16624999999999</v>
      </c>
      <c r="R4" s="12">
        <f t="shared" ref="R4:R8" si="9">$J4*I4</f>
        <v>-377.09749999999997</v>
      </c>
    </row>
    <row r="5" spans="1:18" ht="16.5" thickBot="1">
      <c r="A5" s="15">
        <f>'1.3'!E4</f>
        <v>34.549999999999997</v>
      </c>
      <c r="B5" s="18">
        <f>'1.3'!G7</f>
        <v>118.2</v>
      </c>
      <c r="C5" s="18">
        <f>'1.3'!G8</f>
        <v>102.5</v>
      </c>
      <c r="D5" s="18">
        <f>'1.3'!G9</f>
        <v>90.15</v>
      </c>
      <c r="E5" s="18">
        <f>'1.3'!G10</f>
        <v>79.7</v>
      </c>
      <c r="F5" s="18">
        <f>'1.3'!G11</f>
        <v>72.2</v>
      </c>
      <c r="G5" s="18">
        <f>'1.3'!G12</f>
        <v>65.550000000000011</v>
      </c>
      <c r="H5" s="18">
        <f>'1.3'!G13</f>
        <v>58.100000000000009</v>
      </c>
      <c r="I5" s="18">
        <f>'1.3'!G14</f>
        <v>54.800000000000004</v>
      </c>
      <c r="J5" s="12">
        <f t="shared" si="1"/>
        <v>5.0749999999999993</v>
      </c>
      <c r="K5" s="12">
        <f t="shared" si="2"/>
        <v>599.8649999999999</v>
      </c>
      <c r="L5" s="12">
        <f t="shared" si="3"/>
        <v>520.18749999999989</v>
      </c>
      <c r="M5" s="12">
        <f t="shared" si="4"/>
        <v>457.51124999999996</v>
      </c>
      <c r="N5" s="12">
        <f t="shared" si="5"/>
        <v>404.47749999999996</v>
      </c>
      <c r="O5" s="12">
        <f t="shared" si="6"/>
        <v>366.41499999999996</v>
      </c>
      <c r="P5" s="12">
        <f t="shared" si="7"/>
        <v>332.66624999999999</v>
      </c>
      <c r="Q5" s="12">
        <f t="shared" si="8"/>
        <v>294.85750000000002</v>
      </c>
      <c r="R5" s="12">
        <f t="shared" si="9"/>
        <v>278.10999999999996</v>
      </c>
    </row>
    <row r="6" spans="1:18" ht="16.5" thickBot="1">
      <c r="A6" s="15">
        <f>'1.4'!E4</f>
        <v>48</v>
      </c>
      <c r="B6" s="18">
        <f>'1.4'!G7</f>
        <v>125.4</v>
      </c>
      <c r="C6" s="18">
        <f>'1.4'!G8</f>
        <v>107.80000000000001</v>
      </c>
      <c r="D6" s="18">
        <f>'1.4'!G9</f>
        <v>94.4</v>
      </c>
      <c r="E6" s="18">
        <f>'1.4'!G10</f>
        <v>84.2</v>
      </c>
      <c r="F6" s="18">
        <f>'1.4'!G11</f>
        <v>76.150000000000006</v>
      </c>
      <c r="G6" s="18">
        <f>'1.4'!G12</f>
        <v>68.95</v>
      </c>
      <c r="H6" s="18">
        <f>'1.4'!G13</f>
        <v>63.600000000000009</v>
      </c>
      <c r="I6" s="18">
        <f>'1.4'!G14</f>
        <v>58.500000000000007</v>
      </c>
      <c r="J6" s="12">
        <f t="shared" si="1"/>
        <v>18.525000000000002</v>
      </c>
      <c r="K6" s="12">
        <f t="shared" si="2"/>
        <v>2323.0350000000003</v>
      </c>
      <c r="L6" s="12">
        <f t="shared" si="3"/>
        <v>1996.9950000000003</v>
      </c>
      <c r="M6" s="12">
        <f t="shared" si="4"/>
        <v>1748.7600000000002</v>
      </c>
      <c r="N6" s="12">
        <f t="shared" si="5"/>
        <v>1559.8050000000003</v>
      </c>
      <c r="O6" s="12">
        <f t="shared" si="6"/>
        <v>1410.6787500000003</v>
      </c>
      <c r="P6" s="12">
        <f t="shared" si="7"/>
        <v>1277.2987500000002</v>
      </c>
      <c r="Q6" s="12">
        <f t="shared" si="8"/>
        <v>1178.1900000000003</v>
      </c>
      <c r="R6" s="12">
        <f t="shared" si="9"/>
        <v>1083.7125000000003</v>
      </c>
    </row>
    <row r="7" spans="1:18" ht="16.5" thickBot="1">
      <c r="A7" s="15">
        <f>'1.5'!E4</f>
        <v>66.45</v>
      </c>
      <c r="B7" s="18">
        <f>'1.5'!G7</f>
        <v>132.5</v>
      </c>
      <c r="C7" s="18">
        <f>'1.5'!G8</f>
        <v>114.25</v>
      </c>
      <c r="D7" s="18">
        <f>'1.5'!G9</f>
        <v>100.10000000000001</v>
      </c>
      <c r="E7" s="18">
        <f>'1.5'!G10</f>
        <v>88.850000000000009</v>
      </c>
      <c r="F7" s="18">
        <f>'1.5'!G11</f>
        <v>80.400000000000006</v>
      </c>
      <c r="G7" s="18">
        <f>'1.5'!G12</f>
        <v>72.800000000000011</v>
      </c>
      <c r="H7" s="18">
        <f>'1.5'!G13</f>
        <v>102.30000000000001</v>
      </c>
      <c r="I7" s="18">
        <f>'1.5'!G14</f>
        <v>63.000000000000007</v>
      </c>
      <c r="J7" s="12">
        <f t="shared" si="1"/>
        <v>36.975000000000009</v>
      </c>
      <c r="K7" s="12">
        <f t="shared" si="2"/>
        <v>4899.1875000000009</v>
      </c>
      <c r="L7" s="12">
        <f t="shared" si="3"/>
        <v>4224.3937500000011</v>
      </c>
      <c r="M7" s="12">
        <f t="shared" si="4"/>
        <v>3701.1975000000011</v>
      </c>
      <c r="N7" s="12">
        <f t="shared" si="5"/>
        <v>3285.2287500000011</v>
      </c>
      <c r="O7" s="12">
        <f t="shared" si="6"/>
        <v>2972.7900000000009</v>
      </c>
      <c r="P7" s="12">
        <f t="shared" si="7"/>
        <v>2691.7800000000011</v>
      </c>
      <c r="Q7" s="12">
        <f t="shared" si="8"/>
        <v>3782.5425000000014</v>
      </c>
      <c r="R7" s="12">
        <f t="shared" si="9"/>
        <v>2329.4250000000006</v>
      </c>
    </row>
    <row r="8" spans="1:18" ht="16.5" thickBot="1">
      <c r="A8" s="15"/>
      <c r="B8" s="18"/>
      <c r="C8" s="18"/>
      <c r="D8" s="18"/>
      <c r="E8" s="18"/>
      <c r="F8" s="18"/>
      <c r="G8" s="18"/>
      <c r="H8" s="18"/>
      <c r="I8" s="18"/>
      <c r="J8" s="12"/>
      <c r="K8" s="12"/>
      <c r="L8" s="12"/>
      <c r="M8" s="12"/>
      <c r="N8" s="12"/>
      <c r="O8" s="12"/>
      <c r="P8" s="12"/>
      <c r="Q8" s="12"/>
      <c r="R8" s="12"/>
    </row>
    <row r="9" spans="1:18" ht="19.5" thickBot="1">
      <c r="A9" s="5" t="s">
        <v>28</v>
      </c>
      <c r="B9" s="1">
        <f>1/B1</f>
        <v>0.02</v>
      </c>
      <c r="C9" s="22">
        <f t="shared" ref="C9:I9" si="10">1/C1</f>
        <v>1.6666666666666666E-2</v>
      </c>
      <c r="D9" s="22">
        <f t="shared" si="10"/>
        <v>1.4285714285714285E-2</v>
      </c>
      <c r="E9" s="1">
        <f t="shared" si="10"/>
        <v>1.2500000000000001E-2</v>
      </c>
      <c r="F9" s="22">
        <f t="shared" si="10"/>
        <v>1.1111111111111112E-2</v>
      </c>
      <c r="G9" s="1">
        <f t="shared" si="10"/>
        <v>0.01</v>
      </c>
      <c r="H9" s="22">
        <f t="shared" si="10"/>
        <v>9.0909090909090905E-3</v>
      </c>
      <c r="I9" s="22">
        <f t="shared" si="10"/>
        <v>8.3333333333333332E-3</v>
      </c>
    </row>
    <row r="10" spans="1:18" ht="16.5" thickBot="1">
      <c r="A10" s="5" t="s">
        <v>26</v>
      </c>
      <c r="B10" s="18">
        <f>-B20/B19</f>
        <v>-47.560837373293353</v>
      </c>
      <c r="C10" s="18">
        <f t="shared" ref="C10:I10" si="11">-C20/C19</f>
        <v>-43.838265851843026</v>
      </c>
      <c r="D10" s="18">
        <f t="shared" si="11"/>
        <v>-43.225220711564212</v>
      </c>
      <c r="E10" s="18">
        <f t="shared" si="11"/>
        <v>-42.947839769170756</v>
      </c>
      <c r="F10" s="18">
        <f t="shared" si="11"/>
        <v>-42.505145491048104</v>
      </c>
      <c r="G10" s="18">
        <f t="shared" si="11"/>
        <v>-43.847792649253442</v>
      </c>
      <c r="H10" s="18">
        <f t="shared" si="11"/>
        <v>-21.476417387916655</v>
      </c>
      <c r="I10" s="18">
        <f t="shared" si="11"/>
        <v>-41.809254224052232</v>
      </c>
      <c r="N10" s="12"/>
    </row>
    <row r="11" spans="1:18" ht="30" customHeight="1">
      <c r="B11" s="17">
        <v>-391.24220432736621</v>
      </c>
      <c r="C11" s="17">
        <v>-356.0599905355545</v>
      </c>
      <c r="D11" s="17">
        <v>-354.24393107245203</v>
      </c>
      <c r="E11" s="17">
        <v>-352.17391469507629</v>
      </c>
      <c r="F11" s="17">
        <v>-337.50496545653772</v>
      </c>
      <c r="G11" s="17">
        <v>-333.19510880161187</v>
      </c>
      <c r="H11" s="17">
        <v>-329.76839015087535</v>
      </c>
      <c r="I11" s="17">
        <v>-327.48425576702442</v>
      </c>
      <c r="K11" s="12">
        <f>SUM(K3:K8)</f>
        <v>4805.6375000000007</v>
      </c>
      <c r="L11" s="12">
        <f t="shared" ref="L11:R11" si="12">SUM(L3:L8)</f>
        <v>3796.9362500000016</v>
      </c>
      <c r="M11" s="12">
        <f t="shared" si="12"/>
        <v>3347.6950000000015</v>
      </c>
      <c r="N11" s="12">
        <f t="shared" si="12"/>
        <v>2982.2912500000011</v>
      </c>
      <c r="O11" s="12">
        <f t="shared" si="12"/>
        <v>2710.2612500000014</v>
      </c>
      <c r="P11" s="12">
        <f t="shared" si="12"/>
        <v>2427.3725000000013</v>
      </c>
      <c r="Q11" s="12">
        <f t="shared" si="12"/>
        <v>3548.6712500000017</v>
      </c>
      <c r="R11" s="12">
        <f t="shared" si="12"/>
        <v>2112.900000000001</v>
      </c>
    </row>
    <row r="13" spans="1:18">
      <c r="B13">
        <v>50</v>
      </c>
      <c r="C13">
        <v>90</v>
      </c>
      <c r="D13">
        <v>120</v>
      </c>
    </row>
    <row r="14" spans="1:18">
      <c r="A14" t="s">
        <v>29</v>
      </c>
      <c r="B14" s="12">
        <f>SUM(A3:A8)/6</f>
        <v>29.474999999999998</v>
      </c>
      <c r="C14" s="12">
        <f>SUM(A3:A8)/6</f>
        <v>29.474999999999998</v>
      </c>
      <c r="D14" s="12">
        <f>SUM(A3:A8)/6</f>
        <v>29.474999999999998</v>
      </c>
    </row>
    <row r="15" spans="1:18">
      <c r="A15" t="s">
        <v>30</v>
      </c>
      <c r="B15">
        <f>SUM(B3:B7)/5</f>
        <v>114.54</v>
      </c>
      <c r="C15">
        <f t="shared" ref="C15:I15" si="13">SUM(C3:C8)/6</f>
        <v>86.125</v>
      </c>
      <c r="D15">
        <f t="shared" si="13"/>
        <v>75.300000000000011</v>
      </c>
      <c r="E15">
        <f t="shared" si="13"/>
        <v>66.825000000000003</v>
      </c>
      <c r="F15">
        <f t="shared" si="13"/>
        <v>60.358333333333327</v>
      </c>
      <c r="G15">
        <f t="shared" si="13"/>
        <v>55.06666666666667</v>
      </c>
      <c r="H15">
        <f t="shared" si="13"/>
        <v>55.94166666666667</v>
      </c>
      <c r="I15">
        <f t="shared" si="13"/>
        <v>46.6</v>
      </c>
    </row>
    <row r="16" spans="1:18">
      <c r="A16" t="s">
        <v>14</v>
      </c>
      <c r="B16">
        <f>SUM( (B14-A3)^2,(B14-A4)^2,(B14-A5)^2,(B14-A6)^2,(B14-A7)^2,(B14-A8)^2)</f>
        <v>3232.1137500000004</v>
      </c>
    </row>
    <row r="17" spans="1:13">
      <c r="A17" t="s">
        <v>17</v>
      </c>
      <c r="B17" s="16"/>
    </row>
    <row r="18" spans="1:13">
      <c r="A18" t="s">
        <v>18</v>
      </c>
    </row>
    <row r="19" spans="1:13">
      <c r="A19" t="s">
        <v>15</v>
      </c>
      <c r="B19" s="12">
        <f>1/$B$16*SUM(K3:K8)</f>
        <v>1.486840461601947</v>
      </c>
      <c r="C19" s="12">
        <f t="shared" ref="C19:I19" si="14">1/$B$16*SUM(L3:L8)</f>
        <v>1.1747532864522485</v>
      </c>
      <c r="D19" s="12">
        <f t="shared" si="14"/>
        <v>1.0357602667913532</v>
      </c>
      <c r="E19" s="12">
        <f t="shared" si="14"/>
        <v>0.92270615475708451</v>
      </c>
      <c r="F19" s="12">
        <f t="shared" si="14"/>
        <v>0.83854141890891098</v>
      </c>
      <c r="G19" s="12">
        <f t="shared" si="14"/>
        <v>0.75101703954571553</v>
      </c>
      <c r="H19" s="12">
        <f t="shared" si="14"/>
        <v>1.0979413240019791</v>
      </c>
      <c r="I19" s="12">
        <f t="shared" si="14"/>
        <v>0.65372080422602719</v>
      </c>
    </row>
    <row r="20" spans="1:13">
      <c r="A20" t="s">
        <v>16</v>
      </c>
      <c r="B20">
        <f>B15-B19*$B$14</f>
        <v>70.715377394282626</v>
      </c>
      <c r="C20">
        <f t="shared" ref="C20:I20" si="15">C15-C19*$B$14</f>
        <v>51.499146881819975</v>
      </c>
      <c r="D20">
        <f t="shared" si="15"/>
        <v>44.770966136324873</v>
      </c>
      <c r="E20">
        <f t="shared" si="15"/>
        <v>39.628236088534941</v>
      </c>
      <c r="F20">
        <f t="shared" si="15"/>
        <v>35.642325010993176</v>
      </c>
      <c r="G20">
        <f t="shared" si="15"/>
        <v>32.930439426056708</v>
      </c>
      <c r="H20">
        <f t="shared" si="15"/>
        <v>23.579846141708337</v>
      </c>
      <c r="I20">
        <f t="shared" si="15"/>
        <v>27.331579295437852</v>
      </c>
    </row>
    <row r="21" spans="1:13">
      <c r="A21" t="s">
        <v>20</v>
      </c>
    </row>
    <row r="22" spans="1:13">
      <c r="A22" t="s">
        <v>21</v>
      </c>
    </row>
    <row r="23" spans="1:13">
      <c r="A23" t="s">
        <v>31</v>
      </c>
    </row>
    <row r="29" spans="1:13">
      <c r="B29" s="17"/>
    </row>
    <row r="30" spans="1:13">
      <c r="B30" s="17"/>
    </row>
    <row r="31" spans="1:13">
      <c r="B31" s="17"/>
    </row>
    <row r="32" spans="1:13">
      <c r="B32" s="17"/>
      <c r="L32" t="s">
        <v>34</v>
      </c>
      <c r="M32" t="s">
        <v>35</v>
      </c>
    </row>
    <row r="33" spans="1:13">
      <c r="B33" s="17"/>
      <c r="L33">
        <v>-5013.3</v>
      </c>
      <c r="M33">
        <v>-283.8</v>
      </c>
    </row>
    <row r="34" spans="1:13">
      <c r="B34" s="17"/>
    </row>
    <row r="35" spans="1:13">
      <c r="B35" s="17"/>
    </row>
    <row r="36" spans="1:13">
      <c r="B36" s="17"/>
    </row>
    <row r="46" spans="1:13">
      <c r="A46" t="s">
        <v>36</v>
      </c>
      <c r="B46" t="s">
        <v>37</v>
      </c>
      <c r="C46" t="s">
        <v>38</v>
      </c>
      <c r="D46" t="s">
        <v>41</v>
      </c>
      <c r="E46" t="s">
        <v>15</v>
      </c>
      <c r="F46" t="s">
        <v>42</v>
      </c>
    </row>
    <row r="47" spans="1:13" ht="16.5" thickBot="1">
      <c r="A47" s="1">
        <f>B9</f>
        <v>0.02</v>
      </c>
      <c r="B47" s="18">
        <f>B11</f>
        <v>-391.24220432736621</v>
      </c>
      <c r="C47">
        <f>A47-$A$57</f>
        <v>7.2515331890331894E-3</v>
      </c>
      <c r="D47" s="20">
        <f>C47^2</f>
        <v>5.2584733591649859E-5</v>
      </c>
      <c r="E47">
        <f>C47*B47</f>
        <v>-2.8371058296304006</v>
      </c>
      <c r="F47">
        <f>(B47-$D$57*A47-$E$57)^2</f>
        <v>51.535401234455819</v>
      </c>
    </row>
    <row r="48" spans="1:13" ht="16.5" thickBot="1">
      <c r="A48" s="1">
        <f>C9</f>
        <v>1.6666666666666666E-2</v>
      </c>
      <c r="B48" s="19">
        <f>C11</f>
        <v>-356.0599905355545</v>
      </c>
      <c r="C48">
        <f t="shared" ref="C48:C54" si="16">A48-$A$57</f>
        <v>3.9181998556998554E-3</v>
      </c>
      <c r="D48" s="20">
        <f t="shared" ref="D48:D54" si="17">C48^2</f>
        <v>1.5352290109206367E-5</v>
      </c>
      <c r="E48">
        <f t="shared" ref="E48:E54" si="18">C48*B48</f>
        <v>-1.3951142035369015</v>
      </c>
      <c r="F48">
        <f t="shared" ref="F48:F54" si="19">(B48-$D$57*A48-$E$57)^2</f>
        <v>127.5163578215862</v>
      </c>
    </row>
    <row r="49" spans="1:8" ht="16.5" thickBot="1">
      <c r="A49" s="1">
        <f>D9</f>
        <v>1.4285714285714285E-2</v>
      </c>
      <c r="B49" s="19">
        <f>D11</f>
        <v>-354.24393107245203</v>
      </c>
      <c r="C49">
        <f t="shared" si="16"/>
        <v>1.5372474747474742E-3</v>
      </c>
      <c r="D49" s="20">
        <f t="shared" si="17"/>
        <v>2.3631297986174864E-6</v>
      </c>
      <c r="E49">
        <f t="shared" si="18"/>
        <v>-0.54456058848574518</v>
      </c>
      <c r="F49">
        <f t="shared" si="19"/>
        <v>1.3733152070728665</v>
      </c>
    </row>
    <row r="50" spans="1:8" ht="16.5" thickBot="1">
      <c r="A50" s="1">
        <f>E9</f>
        <v>1.2500000000000001E-2</v>
      </c>
      <c r="B50" s="19">
        <f>E11</f>
        <v>-352.17391469507629</v>
      </c>
      <c r="C50">
        <f t="shared" si="16"/>
        <v>-2.4846681096681034E-4</v>
      </c>
      <c r="D50" s="20">
        <f t="shared" si="17"/>
        <v>6.1735756152016665E-8</v>
      </c>
      <c r="E50">
        <f t="shared" si="18"/>
        <v>8.7503529489983106E-2</v>
      </c>
      <c r="F50">
        <f t="shared" si="19"/>
        <v>32.609404634705868</v>
      </c>
    </row>
    <row r="51" spans="1:8" ht="16.5" thickBot="1">
      <c r="A51" s="1">
        <f>F9</f>
        <v>1.1111111111111112E-2</v>
      </c>
      <c r="B51" s="19">
        <f>F11</f>
        <v>-337.50496545653772</v>
      </c>
      <c r="C51">
        <f t="shared" si="16"/>
        <v>-1.6373556998556995E-3</v>
      </c>
      <c r="D51" s="20">
        <f t="shared" si="17"/>
        <v>2.6809336878499475E-6</v>
      </c>
      <c r="E51">
        <f t="shared" si="18"/>
        <v>0.55261567891986296</v>
      </c>
      <c r="F51">
        <f t="shared" si="19"/>
        <v>3.9821530597828909</v>
      </c>
    </row>
    <row r="52" spans="1:8" ht="16.5" thickBot="1">
      <c r="A52" s="1">
        <f>G9</f>
        <v>0.01</v>
      </c>
      <c r="B52" s="19">
        <f>G11</f>
        <v>-333.19510880161187</v>
      </c>
      <c r="C52">
        <f t="shared" si="16"/>
        <v>-2.7484668109668108E-3</v>
      </c>
      <c r="D52" s="20">
        <f t="shared" si="17"/>
        <v>7.5540698109860706E-6</v>
      </c>
      <c r="E52">
        <f t="shared" si="18"/>
        <v>0.91577569811770576</v>
      </c>
      <c r="F52">
        <f t="shared" si="19"/>
        <v>0.54026726448679119</v>
      </c>
    </row>
    <row r="53" spans="1:8" ht="16.5" thickBot="1">
      <c r="A53" s="1">
        <f>H9</f>
        <v>9.0909090909090905E-3</v>
      </c>
      <c r="B53" s="19">
        <f>H11</f>
        <v>-329.76839015087535</v>
      </c>
      <c r="C53">
        <f t="shared" si="16"/>
        <v>-3.6575577200577206E-3</v>
      </c>
      <c r="D53" s="20">
        <f t="shared" si="17"/>
        <v>1.3377728475553832E-5</v>
      </c>
      <c r="E53">
        <f t="shared" si="18"/>
        <v>1.2061469212273406</v>
      </c>
      <c r="F53">
        <f t="shared" si="19"/>
        <v>0.15667413549471071</v>
      </c>
    </row>
    <row r="54" spans="1:8" ht="16.5" thickBot="1">
      <c r="A54" s="1">
        <f>I9</f>
        <v>8.3333333333333332E-3</v>
      </c>
      <c r="B54" s="19">
        <f>I11</f>
        <v>-327.48425576702442</v>
      </c>
      <c r="C54">
        <f t="shared" si="16"/>
        <v>-4.4151334776334778E-3</v>
      </c>
      <c r="D54" s="20">
        <f t="shared" si="17"/>
        <v>1.9493403625319888E-5</v>
      </c>
      <c r="E54">
        <f t="shared" si="18"/>
        <v>1.4458867010348739</v>
      </c>
      <c r="F54">
        <f t="shared" si="19"/>
        <v>3.646801263625393</v>
      </c>
    </row>
    <row r="56" spans="1:8">
      <c r="A56" t="s">
        <v>39</v>
      </c>
      <c r="B56" t="s">
        <v>40</v>
      </c>
      <c r="C56" t="s">
        <v>14</v>
      </c>
      <c r="D56" t="s">
        <v>15</v>
      </c>
      <c r="E56" t="s">
        <v>16</v>
      </c>
      <c r="F56" t="s">
        <v>18</v>
      </c>
      <c r="G56" t="s">
        <v>20</v>
      </c>
      <c r="H56" t="s">
        <v>21</v>
      </c>
    </row>
    <row r="57" spans="1:8">
      <c r="A57">
        <f>SUM(A47:A54)/8</f>
        <v>1.2748466810966811E-2</v>
      </c>
      <c r="B57">
        <f>SUM(B47:B54)/8</f>
        <v>-347.70909510081231</v>
      </c>
      <c r="C57" s="20">
        <f>SUM(D47:D54)</f>
        <v>1.1346802485533547E-4</v>
      </c>
      <c r="D57">
        <f>SUM(E47:E54)/C57</f>
        <v>-5013.3250630609864</v>
      </c>
      <c r="E57">
        <f>B57-D57*A57</f>
        <v>-283.79688692179121</v>
      </c>
      <c r="F57">
        <f>1/6*SUM(F47:F54)</f>
        <v>36.893395770201757</v>
      </c>
      <c r="G57">
        <f>(F57/C57)^0.5</f>
        <v>570.21359536177874</v>
      </c>
      <c r="H57">
        <f>((1/8+A57^2/C57)*F57)^0.5</f>
        <v>7.5799149563459194</v>
      </c>
    </row>
    <row r="59" spans="1:8">
      <c r="E59" t="s">
        <v>24</v>
      </c>
    </row>
    <row r="60" spans="1:8">
      <c r="E60">
        <f>E57/3*(  (G57/D57)^2+  (H57/E57)^2  )^0.5</f>
        <v>-11.052327012960925</v>
      </c>
    </row>
  </sheetData>
  <sortState ref="B29:B36">
    <sortCondition ref="B29"/>
  </sortState>
  <mergeCells count="1">
    <mergeCell ref="B2:I2"/>
  </mergeCells>
  <pageMargins left="0.7" right="0.7" top="0.75" bottom="0.75" header="0.3" footer="0.3"/>
  <pageSetup paperSize="9" orientation="portrait" horizontalDpi="200" verticalDpi="200" r:id="rId1"/>
  <drawing r:id="rId2"/>
  <legacyDrawing r:id="rId3"/>
  <oleObjects>
    <oleObject progId="Equation.DSMT4" shapeId="9231" r:id="rId4"/>
    <oleObject progId="Equation.DSMT4" shapeId="9230" r:id="rId5"/>
    <oleObject progId="Equation.DSMT4" shapeId="9229" r:id="rId6"/>
    <oleObject progId="Equation.DSMT4" shapeId="9232" r:id="rId7"/>
    <oleObject progId="Equation.DSMT4" shapeId="923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1.1</vt:lpstr>
      <vt:lpstr>1.2</vt:lpstr>
      <vt:lpstr>1.3</vt:lpstr>
      <vt:lpstr>1.4</vt:lpstr>
      <vt:lpstr>1.5</vt:lpstr>
      <vt:lpstr>1.6</vt:lpstr>
      <vt:lpstr>график</vt:lpstr>
      <vt:lpstr>2.1</vt:lpstr>
      <vt:lpstr>2,2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Markelios</dc:creator>
  <cp:lastModifiedBy>Виталий</cp:lastModifiedBy>
  <dcterms:created xsi:type="dcterms:W3CDTF">2012-11-18T15:41:44Z</dcterms:created>
  <dcterms:modified xsi:type="dcterms:W3CDTF">2012-12-04T19:46:09Z</dcterms:modified>
</cp:coreProperties>
</file>